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4760" windowHeight="10815" tabRatio="820" activeTab="12"/>
  </bookViews>
  <sheets>
    <sheet name="за 2019 год" sheetId="1" r:id="rId1"/>
    <sheet name=" январь " sheetId="2" r:id="rId2"/>
    <sheet name="февраль " sheetId="3" r:id="rId3"/>
    <sheet name="март " sheetId="4" r:id="rId4"/>
    <sheet name="апрель " sheetId="5" r:id="rId5"/>
    <sheet name="май " sheetId="6" r:id="rId6"/>
    <sheet name="июнь " sheetId="7" r:id="rId7"/>
    <sheet name="июль " sheetId="8" r:id="rId8"/>
    <sheet name="август " sheetId="9" r:id="rId9"/>
    <sheet name="сентябрь " sheetId="10" r:id="rId10"/>
    <sheet name="октябрь " sheetId="11" r:id="rId11"/>
    <sheet name="ноябрь " sheetId="12" r:id="rId12"/>
    <sheet name="декабрь " sheetId="13" r:id="rId13"/>
  </sheets>
  <definedNames/>
  <calcPr fullCalcOnLoad="1"/>
</workbook>
</file>

<file path=xl/sharedStrings.xml><?xml version="1.0" encoding="utf-8"?>
<sst xmlns="http://schemas.openxmlformats.org/spreadsheetml/2006/main" count="585" uniqueCount="53">
  <si>
    <t>№ п/п</t>
  </si>
  <si>
    <t>Наименование населенного пункта</t>
  </si>
  <si>
    <t>Прочим организациям</t>
  </si>
  <si>
    <t>Населению</t>
  </si>
  <si>
    <t>Ед. изм.</t>
  </si>
  <si>
    <t>согласно Постановления Правительства РФ</t>
  </si>
  <si>
    <t>от 21.01.2004 № 24</t>
  </si>
  <si>
    <t>Квт/час.</t>
  </si>
  <si>
    <t>Итого</t>
  </si>
  <si>
    <t xml:space="preserve">Отпущено электроэнергии </t>
  </si>
  <si>
    <t>Отпущено электроэнергии за декабрь</t>
  </si>
  <si>
    <t>Отпущено электроэнергии за апрель</t>
  </si>
  <si>
    <t>Отпущено электроэнергии за март</t>
  </si>
  <si>
    <t>Отпущено электроэнергии за май</t>
  </si>
  <si>
    <t xml:space="preserve">Отпущено электроэнергии за июнь </t>
  </si>
  <si>
    <t xml:space="preserve">Отпущено электроэнергии за июль </t>
  </si>
  <si>
    <t>Отпущено электроэнергии за август</t>
  </si>
  <si>
    <t xml:space="preserve">Отпущено электроэнергии за сентябрь </t>
  </si>
  <si>
    <t>Отпущено электроэнергии за октябрь</t>
  </si>
  <si>
    <t>Отпущено электроэнергии за ноябрь</t>
  </si>
  <si>
    <t>Отпущено электроэнергии за январь</t>
  </si>
  <si>
    <t>Отпущено электроэнергии за февраль</t>
  </si>
  <si>
    <t>Отчетная  калькуляция полезно отпущенной электроэнергии  по  МП ЗР "Севержилкомсервис" в разрезе населенных пунктов НАО за 2018 год</t>
  </si>
  <si>
    <t xml:space="preserve">д. Андег </t>
  </si>
  <si>
    <t>п. Индига</t>
  </si>
  <si>
    <t>п. Бугрино</t>
  </si>
  <si>
    <t>с. Великовисочное</t>
  </si>
  <si>
    <t>с. Коткино</t>
  </si>
  <si>
    <t>п. Каратайка</t>
  </si>
  <si>
    <t>с. Оксино</t>
  </si>
  <si>
    <t>п. Нельмин-Нос</t>
  </si>
  <si>
    <t>с. Тельвиска</t>
  </si>
  <si>
    <t>д. Усть-Кара</t>
  </si>
  <si>
    <t>п.Харута</t>
  </si>
  <si>
    <t>п. Хорей-Вер</t>
  </si>
  <si>
    <t>с. Несь</t>
  </si>
  <si>
    <t>п. Шойна</t>
  </si>
  <si>
    <t>с. Ома</t>
  </si>
  <si>
    <t>с. Нижняя-Пеша</t>
  </si>
  <si>
    <t>п.Амдерма</t>
  </si>
  <si>
    <t>п. Амдерма</t>
  </si>
  <si>
    <t>Отчетная  калькуляция полезно отпущенной электроэнергии  по  МП ЗР "Севержилкомсервис" в разрезе населенных пунктов НАО за январь 2019 год</t>
  </si>
  <si>
    <t>Отчетная  калькуляция полезно отпущенной электроэнергии  по  МП ЗР "Севержилкомсервис" в разрезе населенных пунктов НАО за декабрь 2019 год</t>
  </si>
  <si>
    <t>Отчетная  калькуляция полезно отпущенной электроэнергии  по  МП ЗР "Севержилкомсервис" в разрезе населенных пунктов НАО за ноябрь 2019 год</t>
  </si>
  <si>
    <t>Отчетная  калькуляция полезно отпущенной электроэнергии  по  МП ЗР "Севержилкомсервис" в разрезе населенных пунктов НАО за октябрь 2019 год.</t>
  </si>
  <si>
    <t>Отчетная  калькуляция полезно отпущенной электроэнергии  по  МП ЗР "Севержилкомсервис" в разрезе населенных пунктов НАО за сентябрь 2019 год</t>
  </si>
  <si>
    <t>Отчетная  калькуляция полезно отпущенной электроэнергии  по  МП ЗР "Севержилкомсервис" в разрезе населенных пунктов НАО за август 2019 год.</t>
  </si>
  <si>
    <t>Отчетная  калькуляция полезно отпущенной электроэнергии  по  МП ЗР "Севержилкомсервис" в разрезе населенных пунктов НАО за июль 2019 год</t>
  </si>
  <si>
    <t>Отчетная  калькуляция полезно отпущенной электроэнергии  по  МП ЗР "Севержилкомсервис" в разрезе населенных пунктов НАО за июнь 2019 год</t>
  </si>
  <si>
    <t>Отчетная  калькуляция полезно отпущенной электроэнергии  по  МП ЗР "Севержилкомсервис" в разрезе населенных пунктов НАО за май 2019 год</t>
  </si>
  <si>
    <t>Отчетная  калькуляция полезно отпущенной электроэнергии  по  МП ЗР "Севержилкомсервис" в разрезе населенных пунктов НАО за апрель 2019 год</t>
  </si>
  <si>
    <t>Отчетная  калькуляция полезно отпущенной электроэнергии  по  МП ЗР "Севержилкомсервис" в разрезе населенных пунктов НАО за март 2019 год</t>
  </si>
  <si>
    <t>Отчетная  калькуляция полезно отпущенной электроэнергии  по  МП ЗР "Севержилкомсервис" в разрезе населенных пунктов НАО за февраль  2019 год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</si>
</sst>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FC19]d\ mmmm\ yyyy\ &quot;г.&quot;"/>
    <numFmt numFmtId="193" formatCode="dd/mm/yy;@"/>
    <numFmt numFmtId="194" formatCode="d/m/yyyy;@"/>
    <numFmt numFmtId="195" formatCode="#,##0.0"/>
    <numFmt numFmtId="196" formatCode="0.00000"/>
    <numFmt numFmtId="197" formatCode="0.0000"/>
    <numFmt numFmtId="198" formatCode="0.000"/>
    <numFmt numFmtId="199" formatCode="0.0"/>
    <numFmt numFmtId="200" formatCode="0.00000000"/>
    <numFmt numFmtId="201" formatCode="0.0000000"/>
    <numFmt numFmtId="202" formatCode="0.000000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F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2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26" sqref="D26:E26"/>
    </sheetView>
  </sheetViews>
  <sheetFormatPr defaultColWidth="9.00390625" defaultRowHeight="12.75"/>
  <cols>
    <col min="1" max="1" width="6.75390625" style="0" customWidth="1"/>
    <col min="2" max="2" width="20.875" style="0" customWidth="1"/>
    <col min="3" max="3" width="10.625" style="0" customWidth="1"/>
    <col min="4" max="4" width="20.375" style="0" customWidth="1"/>
    <col min="5" max="5" width="19.75390625" style="0" customWidth="1"/>
    <col min="6" max="6" width="9.125" style="0" customWidth="1"/>
  </cols>
  <sheetData>
    <row r="1" spans="3:5" ht="12.75">
      <c r="C1" s="16" t="s">
        <v>5</v>
      </c>
      <c r="D1" s="16"/>
      <c r="E1" s="16"/>
    </row>
    <row r="2" spans="4:5" ht="12.75">
      <c r="D2" s="16" t="s">
        <v>6</v>
      </c>
      <c r="E2" s="16"/>
    </row>
    <row r="4" spans="1:6" ht="12.75" customHeight="1">
      <c r="A4" s="21" t="s">
        <v>22</v>
      </c>
      <c r="B4" s="21"/>
      <c r="C4" s="21"/>
      <c r="D4" s="21"/>
      <c r="E4" s="21"/>
      <c r="F4" s="2"/>
    </row>
    <row r="5" spans="1:6" ht="30.75" customHeight="1">
      <c r="A5" s="21"/>
      <c r="B5" s="21"/>
      <c r="C5" s="21"/>
      <c r="D5" s="21"/>
      <c r="E5" s="21"/>
      <c r="F5" s="2"/>
    </row>
    <row r="7" spans="1:5" ht="27.75" customHeight="1">
      <c r="A7" s="22" t="s">
        <v>0</v>
      </c>
      <c r="B7" s="18" t="s">
        <v>1</v>
      </c>
      <c r="C7" s="19" t="s">
        <v>4</v>
      </c>
      <c r="D7" s="18" t="s">
        <v>9</v>
      </c>
      <c r="E7" s="18"/>
    </row>
    <row r="8" spans="1:5" ht="28.5" customHeight="1">
      <c r="A8" s="23"/>
      <c r="B8" s="18"/>
      <c r="C8" s="20"/>
      <c r="D8" s="12" t="s">
        <v>3</v>
      </c>
      <c r="E8" s="12" t="s">
        <v>2</v>
      </c>
    </row>
    <row r="9" spans="1:5" ht="15.75" customHeight="1">
      <c r="A9" s="1">
        <v>1</v>
      </c>
      <c r="B9" s="11" t="s">
        <v>24</v>
      </c>
      <c r="C9" s="1" t="s">
        <v>7</v>
      </c>
      <c r="D9" s="10">
        <f>' январь '!D9+'февраль '!D9+'март '!D9+'апрель '!D9+'май '!D9+'июнь '!D9+'июль '!D9+'август '!D9+'сентябрь '!D9+'октябрь '!D9+'ноябрь '!D9+'декабрь '!D9</f>
        <v>854281</v>
      </c>
      <c r="E9" s="10">
        <f>' январь '!E9+'февраль '!E9+'март '!E9+'апрель '!E9+'май '!E9+'июнь '!E9+'июль '!E9+'август '!E9+'сентябрь '!E9+'октябрь '!E9+'ноябрь '!E9+'декабрь '!E9</f>
        <v>431440</v>
      </c>
    </row>
    <row r="10" spans="1:5" ht="15.75" customHeight="1">
      <c r="A10" s="1">
        <v>2</v>
      </c>
      <c r="B10" s="11" t="s">
        <v>25</v>
      </c>
      <c r="C10" s="1" t="s">
        <v>7</v>
      </c>
      <c r="D10" s="10">
        <f>' январь '!D10+'февраль '!D10+'март '!D10+'апрель '!D10+'май '!D10+'июнь '!D10+'июль '!D10+'август '!D10+'сентябрь '!D10+'октябрь '!D10+'ноябрь '!D10+'декабрь '!D10</f>
        <v>559434</v>
      </c>
      <c r="E10" s="10">
        <f>' январь '!E10+'февраль '!E10+'март '!E10+'апрель '!E10+'май '!E10+'июнь '!E10+'июль '!E10+'август '!E10+'сентябрь '!E10+'октябрь '!E10+'ноябрь '!E10+'декабрь '!E10</f>
        <v>99407</v>
      </c>
    </row>
    <row r="11" spans="1:5" ht="15.75" customHeight="1">
      <c r="A11" s="1">
        <v>3</v>
      </c>
      <c r="B11" s="11" t="s">
        <v>26</v>
      </c>
      <c r="C11" s="1" t="s">
        <v>7</v>
      </c>
      <c r="D11" s="10">
        <f>' январь '!D11+'февраль '!D11+'март '!D11+'апрель '!D11+'май '!D11+'июнь '!D11+'июль '!D11+'август '!D11+'сентябрь '!D11+'октябрь '!D11+'ноябрь '!D11+'декабрь '!D11</f>
        <v>1308452</v>
      </c>
      <c r="E11" s="10">
        <f>' январь '!E11+'февраль '!E11+'март '!E11+'апрель '!E11+'май '!E11+'июнь '!E11+'июль '!E11+'август '!E11+'сентябрь '!E11+'октябрь '!E11+'ноябрь '!E11+'декабрь '!E11</f>
        <v>1007389</v>
      </c>
    </row>
    <row r="12" spans="1:5" ht="15.75" customHeight="1">
      <c r="A12" s="1">
        <v>4</v>
      </c>
      <c r="B12" s="11" t="s">
        <v>27</v>
      </c>
      <c r="C12" s="1" t="s">
        <v>7</v>
      </c>
      <c r="D12" s="10">
        <f>' январь '!D12+'февраль '!D12+'март '!D12+'апрель '!D12+'май '!D12+'июнь '!D12+'июль '!D12+'август '!D12+'сентябрь '!D12+'октябрь '!D12+'ноябрь '!D12+'декабрь '!D12</f>
        <v>640913</v>
      </c>
      <c r="E12" s="10">
        <f>' январь '!E12+'февраль '!E12+'март '!E12+'апрель '!E12+'май '!E12+'июнь '!E12+'июль '!E12+'август '!E12+'сентябрь '!E12+'октябрь '!E12+'ноябрь '!E12+'декабрь '!E12</f>
        <v>628364</v>
      </c>
    </row>
    <row r="13" spans="1:5" ht="15.75" customHeight="1">
      <c r="A13" s="1">
        <v>5</v>
      </c>
      <c r="B13" s="11" t="s">
        <v>28</v>
      </c>
      <c r="C13" s="1" t="s">
        <v>7</v>
      </c>
      <c r="D13" s="10">
        <f>' январь '!D13+'февраль '!D13+'март '!D13+'апрель '!D13+'май '!D13+'июнь '!D13+'июль '!D13+'август '!D13+'сентябрь '!D13+'октябрь '!D13+'ноябрь '!D13+'декабрь '!D13</f>
        <v>749849</v>
      </c>
      <c r="E13" s="10">
        <f>' январь '!E13+'февраль '!E13+'март '!E13+'апрель '!E13+'май '!E13+'июнь '!E13+'июль '!E13+'август '!E13+'сентябрь '!E13+'октябрь '!E13+'ноябрь '!E13+'декабрь '!E13</f>
        <v>231340</v>
      </c>
    </row>
    <row r="14" spans="1:5" ht="15.75" customHeight="1">
      <c r="A14" s="1">
        <v>6</v>
      </c>
      <c r="B14" s="11" t="s">
        <v>29</v>
      </c>
      <c r="C14" s="1" t="s">
        <v>7</v>
      </c>
      <c r="D14" s="10">
        <f>' январь '!D14+'февраль '!D14+'март '!D14+'апрель '!D14+'май '!D14+'июнь '!D14+'июль '!D14+'август '!D14+'сентябрь '!D14+'октябрь '!D14+'ноябрь '!D14+'декабрь '!D14</f>
        <v>539051</v>
      </c>
      <c r="E14" s="10">
        <f>' январь '!E14+'февраль '!E14+'март '!E14+'апрель '!E14+'май '!E14+'июнь '!E14+'июль '!E14+'август '!E14+'сентябрь '!E14+'октябрь '!E14+'ноябрь '!E14+'декабрь '!E14</f>
        <v>473493</v>
      </c>
    </row>
    <row r="15" spans="1:5" ht="15.75" customHeight="1">
      <c r="A15" s="1">
        <v>7</v>
      </c>
      <c r="B15" s="11" t="s">
        <v>30</v>
      </c>
      <c r="C15" s="1" t="s">
        <v>7</v>
      </c>
      <c r="D15" s="10">
        <f>' январь '!D15+'февраль '!D15+'март '!D15+'апрель '!D15+'май '!D15+'июнь '!D15+'июль '!D15+'август '!D15+'сентябрь '!D15+'октябрь '!D15+'ноябрь '!D15+'декабрь '!D15</f>
        <v>830695</v>
      </c>
      <c r="E15" s="10">
        <f>' январь '!E15+'февраль '!E15+'март '!E15+'апрель '!E15+'май '!E15+'июнь '!E15+'июль '!E15+'август '!E15+'сентябрь '!E15+'октябрь '!E15+'ноябрь '!E15+'декабрь '!E15</f>
        <v>223906</v>
      </c>
    </row>
    <row r="16" spans="1:5" ht="15.75" customHeight="1">
      <c r="A16" s="1">
        <v>8</v>
      </c>
      <c r="B16" s="11" t="s">
        <v>23</v>
      </c>
      <c r="C16" s="1" t="s">
        <v>7</v>
      </c>
      <c r="D16" s="10">
        <f>' январь '!D16+'февраль '!D16+'март '!D16+'апрель '!D16+'май '!D16+'июнь '!D16+'июль '!D16+'август '!D16+'сентябрь '!D16+'октябрь '!D16+'ноябрь '!D16+'декабрь '!D16</f>
        <v>177964</v>
      </c>
      <c r="E16" s="10">
        <f>' январь '!E16+'февраль '!E16+'март '!E16+'апрель '!E16+'май '!E16+'июнь '!E16+'июль '!E16+'август '!E16+'сентябрь '!E16+'октябрь '!E16+'ноябрь '!E16+'декабрь '!E16</f>
        <v>92227</v>
      </c>
    </row>
    <row r="17" spans="1:5" ht="15.75" customHeight="1">
      <c r="A17" s="1">
        <v>9</v>
      </c>
      <c r="B17" s="11" t="s">
        <v>31</v>
      </c>
      <c r="C17" s="1" t="s">
        <v>7</v>
      </c>
      <c r="D17" s="10">
        <f>' январь '!D17+'февраль '!D17+'март '!D17+'апрель '!D17+'май '!D17+'июнь '!D17+'июль '!D17+'август '!D17+'сентябрь '!D17+'октябрь '!D17+'ноябрь '!D17+'декабрь '!D17</f>
        <v>321830</v>
      </c>
      <c r="E17" s="10">
        <f>' январь '!E17+'февраль '!E17+'март '!E17+'апрель '!E17+'май '!E17+'июнь '!E17+'июль '!E17+'август '!E17+'сентябрь '!E17+'октябрь '!E17+'ноябрь '!E17+'декабрь '!E17</f>
        <v>78255</v>
      </c>
    </row>
    <row r="18" spans="1:5" ht="15.75" customHeight="1">
      <c r="A18" s="1">
        <v>10</v>
      </c>
      <c r="B18" s="11" t="s">
        <v>32</v>
      </c>
      <c r="C18" s="1" t="s">
        <v>7</v>
      </c>
      <c r="D18" s="10">
        <f>' январь '!D18+'февраль '!D18+'март '!D18+'апрель '!D18+'май '!D18+'июнь '!D18+'июль '!D18+'август '!D18+'сентябрь '!D18+'октябрь '!D18+'ноябрь '!D18+'декабрь '!D18</f>
        <v>366965</v>
      </c>
      <c r="E18" s="10">
        <f>' январь '!E18+'февраль '!E18+'март '!E18+'апрель '!E18+'май '!E18+'июнь '!E18+'июль '!E18+'август '!E18+'сентябрь '!E18+'октябрь '!E18+'ноябрь '!E18+'декабрь '!E18</f>
        <v>211653.2</v>
      </c>
    </row>
    <row r="19" spans="1:5" ht="15.75" customHeight="1">
      <c r="A19" s="1">
        <v>11</v>
      </c>
      <c r="B19" s="11" t="s">
        <v>33</v>
      </c>
      <c r="C19" s="1" t="s">
        <v>7</v>
      </c>
      <c r="D19" s="10">
        <f>' январь '!D19+'февраль '!D19+'март '!D19+'апрель '!D19+'май '!D19+'июнь '!D19+'июль '!D19+'август '!D19+'сентябрь '!D19+'октябрь '!D19+'ноябрь '!D19+'декабрь '!D19</f>
        <v>622075</v>
      </c>
      <c r="E19" s="10">
        <f>' январь '!E19+'февраль '!E19+'март '!E19+'апрель '!E19+'май '!E19+'июнь '!E19+'июль '!E19+'август '!E19+'сентябрь '!E19+'октябрь '!E19+'ноябрь '!E19+'декабрь '!E19</f>
        <v>238085</v>
      </c>
    </row>
    <row r="20" spans="1:5" ht="15.75" customHeight="1">
      <c r="A20" s="1">
        <v>12</v>
      </c>
      <c r="B20" s="11" t="s">
        <v>34</v>
      </c>
      <c r="C20" s="1" t="s">
        <v>7</v>
      </c>
      <c r="D20" s="10">
        <f>' январь '!D20+'февраль '!D20+'март '!D20+'апрель '!D20+'май '!D20+'июнь '!D20+'июль '!D20+'август '!D20+'сентябрь '!D20+'октябрь '!D20+'ноябрь '!D20+'декабрь '!D20</f>
        <v>688319</v>
      </c>
      <c r="E20" s="10">
        <f>' январь '!E20+'февраль '!E20+'март '!E20+'апрель '!E20+'май '!E20+'июнь '!E20+'июль '!E20+'август '!E20+'сентябрь '!E20+'октябрь '!E20+'ноябрь '!E20+'декабрь '!E20</f>
        <v>320322</v>
      </c>
    </row>
    <row r="21" spans="1:5" ht="15.75" customHeight="1">
      <c r="A21" s="1">
        <v>13</v>
      </c>
      <c r="B21" s="11" t="s">
        <v>35</v>
      </c>
      <c r="C21" s="1" t="s">
        <v>7</v>
      </c>
      <c r="D21" s="10">
        <f>' январь '!D21+'февраль '!D21+'март '!D21+'апрель '!D21+'май '!D21+'июнь '!D21+'июль '!D21+'август '!D21+'сентябрь '!D21+'октябрь '!D21+'ноябрь '!D21+'декабрь '!D21</f>
        <v>1100060</v>
      </c>
      <c r="E21" s="10">
        <f>' январь '!E21+'февраль '!E21+'март '!E21+'апрель '!E21+'май '!E21+'июнь '!E21+'июль '!E21+'август '!E21+'сентябрь '!E21+'октябрь '!E21+'ноябрь '!E21+'декабрь '!E21</f>
        <v>557723</v>
      </c>
    </row>
    <row r="22" spans="1:5" ht="15.75" customHeight="1">
      <c r="A22" s="1">
        <v>14</v>
      </c>
      <c r="B22" s="11" t="s">
        <v>36</v>
      </c>
      <c r="C22" s="1" t="s">
        <v>7</v>
      </c>
      <c r="D22" s="10">
        <f>' январь '!D22+'февраль '!D22+'март '!D22+'апрель '!D22+'май '!D22+'июнь '!D22+'июль '!D22+'август '!D22+'сентябрь '!D22+'октябрь '!D22+'ноябрь '!D22+'декабрь '!D22</f>
        <v>339683</v>
      </c>
      <c r="E22" s="10">
        <f>' январь '!E22+'февраль '!E22+'март '!E22+'апрель '!E22+'май '!E22+'июнь '!E22+'июль '!E22+'август '!E22+'сентябрь '!E22+'октябрь '!E22+'ноябрь '!E22+'декабрь '!E22</f>
        <v>160539</v>
      </c>
    </row>
    <row r="23" spans="1:5" ht="15.75" customHeight="1">
      <c r="A23" s="1">
        <v>15</v>
      </c>
      <c r="B23" s="13" t="s">
        <v>37</v>
      </c>
      <c r="C23" s="1" t="s">
        <v>7</v>
      </c>
      <c r="D23" s="10">
        <f>' январь '!D23+'февраль '!D23+'март '!D23+'апрель '!D23+'май '!D23+'июнь '!D23+'июль '!D23+'август '!D23+'сентябрь '!D23+'октябрь '!D23+'ноябрь '!D23+'декабрь '!D23</f>
        <v>1115254</v>
      </c>
      <c r="E23" s="10">
        <f>' январь '!E23+'февраль '!E23+'март '!E23+'апрель '!E23+'май '!E23+'июнь '!E23+'июль '!E23+'август '!E23+'сентябрь '!E23+'октябрь '!E23+'ноябрь '!E23+'декабрь '!E23</f>
        <v>550234</v>
      </c>
    </row>
    <row r="24" spans="1:5" ht="15.75" customHeight="1">
      <c r="A24" s="1">
        <v>16</v>
      </c>
      <c r="B24" s="13" t="s">
        <v>38</v>
      </c>
      <c r="C24" s="1" t="s">
        <v>7</v>
      </c>
      <c r="D24" s="10">
        <f>' январь '!D24+'февраль '!D24+'март '!D24+'апрель '!D24+'май '!D24+'июнь '!D24+'июль '!D24+'август '!D24+'сентябрь '!D24+'октябрь '!D24+'ноябрь '!D24+'декабрь '!D24</f>
        <v>1089124</v>
      </c>
      <c r="E24" s="10">
        <f>' январь '!E24+'февраль '!E24+'март '!E24+'апрель '!E24+'май '!E24+'июнь '!E24+'июль '!E24+'август '!E24+'сентябрь '!E24+'октябрь '!E24+'ноябрь '!E24+'декабрь '!E24</f>
        <v>1127473</v>
      </c>
    </row>
    <row r="25" spans="1:5" ht="15.75" customHeight="1">
      <c r="A25" s="1">
        <v>17</v>
      </c>
      <c r="B25" s="15" t="s">
        <v>39</v>
      </c>
      <c r="C25" s="1" t="s">
        <v>7</v>
      </c>
      <c r="D25" s="10">
        <f>' январь '!D25+'февраль '!D25+'март '!D25+'апрель '!D25+'май '!D25+'июнь '!D25+'июль '!D25+'август '!D25+'сентябрь '!D25+'октябрь '!D25+'ноябрь '!D25+'декабрь '!D25</f>
        <v>342309</v>
      </c>
      <c r="E25" s="10">
        <f>' январь '!E25+'февраль '!E25+'март '!E25+'апрель '!E25+'май '!E25+'июнь '!E25+'июль '!E25+'август '!E25+'сентябрь '!E25+'октябрь '!E25+'ноябрь '!E25+'декабрь '!E25</f>
        <v>661896.941</v>
      </c>
    </row>
    <row r="26" spans="1:5" ht="15.75" customHeight="1">
      <c r="A26" s="17" t="s">
        <v>8</v>
      </c>
      <c r="B26" s="17"/>
      <c r="C26" s="3" t="s">
        <v>7</v>
      </c>
      <c r="D26" s="14">
        <f>SUM(D9:D25)</f>
        <v>11646258</v>
      </c>
      <c r="E26" s="14">
        <f>SUM(E9:E25)</f>
        <v>7093747.141</v>
      </c>
    </row>
    <row r="28" ht="12.75">
      <c r="E28" s="4"/>
    </row>
  </sheetData>
  <sheetProtection/>
  <mergeCells count="8">
    <mergeCell ref="C1:E1"/>
    <mergeCell ref="D2:E2"/>
    <mergeCell ref="A26:B26"/>
    <mergeCell ref="D7:E7"/>
    <mergeCell ref="B7:B8"/>
    <mergeCell ref="C7:C8"/>
    <mergeCell ref="A4:E5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25" sqref="E25"/>
    </sheetView>
  </sheetViews>
  <sheetFormatPr defaultColWidth="9.125" defaultRowHeight="12.75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16" t="s">
        <v>5</v>
      </c>
      <c r="D1" s="16"/>
      <c r="E1" s="16"/>
    </row>
    <row r="2" spans="4:5" ht="12.75">
      <c r="D2" s="16" t="s">
        <v>6</v>
      </c>
      <c r="E2" s="16"/>
    </row>
    <row r="4" spans="1:6" ht="12.75" customHeight="1">
      <c r="A4" s="21" t="s">
        <v>45</v>
      </c>
      <c r="B4" s="21"/>
      <c r="C4" s="21"/>
      <c r="D4" s="21"/>
      <c r="E4" s="21"/>
      <c r="F4" s="2"/>
    </row>
    <row r="5" spans="1:6" ht="30.75" customHeight="1">
      <c r="A5" s="21"/>
      <c r="B5" s="21"/>
      <c r="C5" s="21"/>
      <c r="D5" s="21"/>
      <c r="E5" s="21"/>
      <c r="F5" s="2"/>
    </row>
    <row r="7" spans="1:5" ht="27.75" customHeight="1">
      <c r="A7" s="22" t="s">
        <v>0</v>
      </c>
      <c r="B7" s="24" t="s">
        <v>1</v>
      </c>
      <c r="C7" s="19" t="s">
        <v>4</v>
      </c>
      <c r="D7" s="18" t="s">
        <v>17</v>
      </c>
      <c r="E7" s="18"/>
    </row>
    <row r="8" spans="1:5" ht="28.5" customHeight="1">
      <c r="A8" s="23"/>
      <c r="B8" s="25"/>
      <c r="C8" s="20"/>
      <c r="D8" s="12" t="s">
        <v>3</v>
      </c>
      <c r="E8" s="12" t="s">
        <v>2</v>
      </c>
    </row>
    <row r="9" spans="1:5" ht="15.75" customHeight="1">
      <c r="A9" s="1">
        <v>1</v>
      </c>
      <c r="B9" s="11" t="s">
        <v>24</v>
      </c>
      <c r="C9" s="1" t="s">
        <v>7</v>
      </c>
      <c r="D9" s="10">
        <f>8890+51719</f>
        <v>60609</v>
      </c>
      <c r="E9" s="10">
        <f>2225+41676</f>
        <v>43901</v>
      </c>
    </row>
    <row r="10" spans="1:5" ht="15.75" customHeight="1">
      <c r="A10" s="1">
        <v>2</v>
      </c>
      <c r="B10" s="11" t="s">
        <v>25</v>
      </c>
      <c r="C10" s="1" t="s">
        <v>7</v>
      </c>
      <c r="D10" s="10">
        <v>35563</v>
      </c>
      <c r="E10" s="10">
        <f>5768+28</f>
        <v>5796</v>
      </c>
    </row>
    <row r="11" spans="1:5" ht="15.75" customHeight="1">
      <c r="A11" s="1">
        <v>3</v>
      </c>
      <c r="B11" s="11" t="s">
        <v>26</v>
      </c>
      <c r="C11" s="1" t="s">
        <v>7</v>
      </c>
      <c r="D11" s="10">
        <f>48978+25299+9042+8937+9111</f>
        <v>101367</v>
      </c>
      <c r="E11" s="10">
        <f>35661+13977+1506+1112+900</f>
        <v>53156</v>
      </c>
    </row>
    <row r="12" spans="1:5" ht="15.75" customHeight="1">
      <c r="A12" s="1">
        <v>4</v>
      </c>
      <c r="B12" s="11" t="s">
        <v>27</v>
      </c>
      <c r="C12" s="1" t="s">
        <v>7</v>
      </c>
      <c r="D12" s="10">
        <v>57312</v>
      </c>
      <c r="E12" s="10">
        <v>43492</v>
      </c>
    </row>
    <row r="13" spans="1:5" ht="15.75" customHeight="1">
      <c r="A13" s="1">
        <v>5</v>
      </c>
      <c r="B13" s="11" t="s">
        <v>28</v>
      </c>
      <c r="C13" s="1" t="s">
        <v>7</v>
      </c>
      <c r="D13" s="10">
        <f>5752+47937</f>
        <v>53689</v>
      </c>
      <c r="E13" s="10">
        <f>1151+11406</f>
        <v>12557</v>
      </c>
    </row>
    <row r="14" spans="1:5" ht="15.75" customHeight="1">
      <c r="A14" s="1">
        <v>6</v>
      </c>
      <c r="B14" s="11" t="s">
        <v>29</v>
      </c>
      <c r="C14" s="1" t="s">
        <v>7</v>
      </c>
      <c r="D14" s="10">
        <f>12814+29256+11546</f>
        <v>53616</v>
      </c>
      <c r="E14" s="10">
        <f>2180+22990+5764</f>
        <v>30934</v>
      </c>
    </row>
    <row r="15" spans="1:5" ht="15.75" customHeight="1">
      <c r="A15" s="1">
        <v>7</v>
      </c>
      <c r="B15" s="11" t="s">
        <v>30</v>
      </c>
      <c r="C15" s="1" t="s">
        <v>7</v>
      </c>
      <c r="D15" s="10">
        <f>53722+2945</f>
        <v>56667</v>
      </c>
      <c r="E15" s="10">
        <f>16431+243</f>
        <v>16674</v>
      </c>
    </row>
    <row r="16" spans="1:5" ht="15.75" customHeight="1">
      <c r="A16" s="1">
        <v>8</v>
      </c>
      <c r="B16" s="11" t="s">
        <v>23</v>
      </c>
      <c r="C16" s="1" t="s">
        <v>7</v>
      </c>
      <c r="D16" s="10">
        <v>15231</v>
      </c>
      <c r="E16" s="10">
        <v>7322</v>
      </c>
    </row>
    <row r="17" spans="1:5" ht="15.75" customHeight="1">
      <c r="A17" s="1">
        <v>9</v>
      </c>
      <c r="B17" s="11" t="s">
        <v>31</v>
      </c>
      <c r="C17" s="1" t="s">
        <v>7</v>
      </c>
      <c r="D17" s="10">
        <f>7675+13377+1408</f>
        <v>22460</v>
      </c>
      <c r="E17" s="10">
        <f>1195+2367+463</f>
        <v>4025</v>
      </c>
    </row>
    <row r="18" spans="1:5" ht="15.75" customHeight="1">
      <c r="A18" s="1">
        <v>10</v>
      </c>
      <c r="B18" s="11" t="s">
        <v>32</v>
      </c>
      <c r="C18" s="1" t="s">
        <v>7</v>
      </c>
      <c r="D18" s="10">
        <v>29023</v>
      </c>
      <c r="E18" s="10">
        <f>14598</f>
        <v>14598</v>
      </c>
    </row>
    <row r="19" spans="1:5" ht="15.75" customHeight="1">
      <c r="A19" s="1">
        <v>11</v>
      </c>
      <c r="B19" s="11" t="s">
        <v>33</v>
      </c>
      <c r="C19" s="1" t="s">
        <v>7</v>
      </c>
      <c r="D19" s="10">
        <v>40492</v>
      </c>
      <c r="E19" s="10">
        <v>17628</v>
      </c>
    </row>
    <row r="20" spans="1:5" ht="15.75" customHeight="1">
      <c r="A20" s="1">
        <v>12</v>
      </c>
      <c r="B20" s="11" t="s">
        <v>34</v>
      </c>
      <c r="C20" s="1" t="s">
        <v>7</v>
      </c>
      <c r="D20" s="10">
        <f>50348+746+676</f>
        <v>51770</v>
      </c>
      <c r="E20" s="10">
        <v>18941</v>
      </c>
    </row>
    <row r="21" spans="1:5" ht="15.75" customHeight="1">
      <c r="A21" s="1">
        <v>13</v>
      </c>
      <c r="B21" s="11" t="s">
        <v>35</v>
      </c>
      <c r="C21" s="1" t="s">
        <v>7</v>
      </c>
      <c r="D21" s="10">
        <f>898+84269+5757</f>
        <v>90924</v>
      </c>
      <c r="E21" s="10">
        <f>34+36904+1589+214</f>
        <v>38741</v>
      </c>
    </row>
    <row r="22" spans="1:5" ht="15.75" customHeight="1">
      <c r="A22" s="1">
        <v>14</v>
      </c>
      <c r="B22" s="11" t="s">
        <v>36</v>
      </c>
      <c r="C22" s="1" t="s">
        <v>7</v>
      </c>
      <c r="D22" s="10">
        <f>3583+20865</f>
        <v>24448</v>
      </c>
      <c r="E22" s="10">
        <f>917+7073</f>
        <v>7990</v>
      </c>
    </row>
    <row r="23" spans="1:5" ht="15.75" customHeight="1">
      <c r="A23" s="1">
        <v>15</v>
      </c>
      <c r="B23" s="11" t="s">
        <v>37</v>
      </c>
      <c r="C23" s="1" t="s">
        <v>7</v>
      </c>
      <c r="D23" s="10">
        <f>5978+65776+4937</f>
        <v>76691</v>
      </c>
      <c r="E23" s="10">
        <f>2019+41511+1942</f>
        <v>45472</v>
      </c>
    </row>
    <row r="24" spans="1:5" ht="15.75" customHeight="1">
      <c r="A24" s="1">
        <v>16</v>
      </c>
      <c r="B24" s="11" t="s">
        <v>38</v>
      </c>
      <c r="C24" s="1" t="s">
        <v>7</v>
      </c>
      <c r="D24" s="10">
        <f>10617+9328+3483+2447+54193</f>
        <v>80068</v>
      </c>
      <c r="E24" s="10">
        <f>289+6221+2226+628+54015</f>
        <v>63379</v>
      </c>
    </row>
    <row r="25" spans="1:5" ht="15.75" customHeight="1">
      <c r="A25" s="1">
        <v>17</v>
      </c>
      <c r="B25" s="15" t="s">
        <v>40</v>
      </c>
      <c r="C25" s="1" t="s">
        <v>7</v>
      </c>
      <c r="D25" s="10">
        <v>24681</v>
      </c>
      <c r="E25" s="10">
        <f>30888-903</f>
        <v>29985</v>
      </c>
    </row>
    <row r="26" spans="1:5" ht="13.5" customHeight="1">
      <c r="A26" s="26" t="s">
        <v>8</v>
      </c>
      <c r="B26" s="27"/>
      <c r="C26" s="3" t="s">
        <v>7</v>
      </c>
      <c r="D26" s="14">
        <f>SUM(D9:D25)</f>
        <v>874611</v>
      </c>
      <c r="E26" s="14">
        <f>SUM(E9:E25)</f>
        <v>454591</v>
      </c>
    </row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26" sqref="D26"/>
    </sheetView>
  </sheetViews>
  <sheetFormatPr defaultColWidth="9.125" defaultRowHeight="12.75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16" t="s">
        <v>5</v>
      </c>
      <c r="D1" s="16"/>
      <c r="E1" s="16"/>
    </row>
    <row r="2" spans="4:5" ht="12.75">
      <c r="D2" s="16" t="s">
        <v>6</v>
      </c>
      <c r="E2" s="16"/>
    </row>
    <row r="4" spans="1:6" ht="12.75" customHeight="1">
      <c r="A4" s="21" t="s">
        <v>44</v>
      </c>
      <c r="B4" s="21"/>
      <c r="C4" s="21"/>
      <c r="D4" s="21"/>
      <c r="E4" s="21"/>
      <c r="F4" s="2"/>
    </row>
    <row r="5" spans="1:6" ht="30.75" customHeight="1">
      <c r="A5" s="21"/>
      <c r="B5" s="21"/>
      <c r="C5" s="21"/>
      <c r="D5" s="21"/>
      <c r="E5" s="21"/>
      <c r="F5" s="2"/>
    </row>
    <row r="7" spans="1:5" ht="27.75" customHeight="1">
      <c r="A7" s="22" t="s">
        <v>0</v>
      </c>
      <c r="B7" s="24" t="s">
        <v>1</v>
      </c>
      <c r="C7" s="19" t="s">
        <v>4</v>
      </c>
      <c r="D7" s="18" t="s">
        <v>18</v>
      </c>
      <c r="E7" s="18"/>
    </row>
    <row r="8" spans="1:5" ht="28.5" customHeight="1">
      <c r="A8" s="23"/>
      <c r="B8" s="25"/>
      <c r="C8" s="20"/>
      <c r="D8" s="12" t="s">
        <v>3</v>
      </c>
      <c r="E8" s="12" t="s">
        <v>2</v>
      </c>
    </row>
    <row r="9" spans="1:5" ht="15.75" customHeight="1">
      <c r="A9" s="1">
        <v>1</v>
      </c>
      <c r="B9" s="11" t="s">
        <v>24</v>
      </c>
      <c r="C9" s="1" t="s">
        <v>7</v>
      </c>
      <c r="D9" s="10">
        <f>8790+52386</f>
        <v>61176</v>
      </c>
      <c r="E9" s="10">
        <f>2820+35405</f>
        <v>38225</v>
      </c>
    </row>
    <row r="10" spans="1:5" ht="15.75" customHeight="1">
      <c r="A10" s="1">
        <v>2</v>
      </c>
      <c r="B10" s="11" t="s">
        <v>25</v>
      </c>
      <c r="C10" s="1" t="s">
        <v>7</v>
      </c>
      <c r="D10" s="10">
        <v>36527</v>
      </c>
      <c r="E10" s="10">
        <v>6170</v>
      </c>
    </row>
    <row r="11" spans="1:5" ht="15.75" customHeight="1">
      <c r="A11" s="1">
        <v>3</v>
      </c>
      <c r="B11" s="11" t="s">
        <v>26</v>
      </c>
      <c r="C11" s="1" t="s">
        <v>7</v>
      </c>
      <c r="D11" s="10">
        <f>56224+26780+10990+6089+8261</f>
        <v>108344</v>
      </c>
      <c r="E11" s="10">
        <f>49022+19948+2630+1704+1526</f>
        <v>74830</v>
      </c>
    </row>
    <row r="12" spans="1:5" ht="15.75" customHeight="1">
      <c r="A12" s="1">
        <v>4</v>
      </c>
      <c r="B12" s="11" t="s">
        <v>27</v>
      </c>
      <c r="C12" s="1" t="s">
        <v>7</v>
      </c>
      <c r="D12" s="10">
        <v>48631</v>
      </c>
      <c r="E12" s="10">
        <v>58270</v>
      </c>
    </row>
    <row r="13" spans="1:5" ht="15.75" customHeight="1">
      <c r="A13" s="1">
        <v>5</v>
      </c>
      <c r="B13" s="11" t="s">
        <v>28</v>
      </c>
      <c r="C13" s="1" t="s">
        <v>7</v>
      </c>
      <c r="D13" s="10">
        <f>4428+46254</f>
        <v>50682</v>
      </c>
      <c r="E13" s="10">
        <f>1602+18511</f>
        <v>20113</v>
      </c>
    </row>
    <row r="14" spans="1:5" ht="15.75" customHeight="1">
      <c r="A14" s="1">
        <v>6</v>
      </c>
      <c r="B14" s="11" t="s">
        <v>29</v>
      </c>
      <c r="C14" s="1" t="s">
        <v>7</v>
      </c>
      <c r="D14" s="10">
        <f>13046+33700+18785</f>
        <v>65531</v>
      </c>
      <c r="E14" s="10">
        <f>2384+29175+8878</f>
        <v>40437</v>
      </c>
    </row>
    <row r="15" spans="1:5" ht="15.75" customHeight="1">
      <c r="A15" s="1">
        <v>7</v>
      </c>
      <c r="B15" s="11" t="s">
        <v>30</v>
      </c>
      <c r="C15" s="1" t="s">
        <v>7</v>
      </c>
      <c r="D15" s="10">
        <f>55239+2186</f>
        <v>57425</v>
      </c>
      <c r="E15" s="10">
        <f>19917+342</f>
        <v>20259</v>
      </c>
    </row>
    <row r="16" spans="1:5" ht="15.75" customHeight="1">
      <c r="A16" s="1">
        <v>8</v>
      </c>
      <c r="B16" s="11" t="s">
        <v>23</v>
      </c>
      <c r="C16" s="1" t="s">
        <v>7</v>
      </c>
      <c r="D16" s="10">
        <v>11662</v>
      </c>
      <c r="E16" s="10">
        <v>7689</v>
      </c>
    </row>
    <row r="17" spans="1:5" ht="15.75" customHeight="1">
      <c r="A17" s="1">
        <v>9</v>
      </c>
      <c r="B17" s="11" t="s">
        <v>31</v>
      </c>
      <c r="C17" s="1" t="s">
        <v>7</v>
      </c>
      <c r="D17" s="10">
        <f>9381+12389+1608</f>
        <v>23378</v>
      </c>
      <c r="E17" s="10">
        <f>1389+3417+799</f>
        <v>5605</v>
      </c>
    </row>
    <row r="18" spans="1:5" ht="15.75" customHeight="1">
      <c r="A18" s="1">
        <v>10</v>
      </c>
      <c r="B18" s="11" t="s">
        <v>32</v>
      </c>
      <c r="C18" s="1" t="s">
        <v>7</v>
      </c>
      <c r="D18" s="10">
        <v>27968</v>
      </c>
      <c r="E18" s="10">
        <v>18184</v>
      </c>
    </row>
    <row r="19" spans="1:5" ht="15.75" customHeight="1">
      <c r="A19" s="1">
        <v>11</v>
      </c>
      <c r="B19" s="11" t="s">
        <v>33</v>
      </c>
      <c r="C19" s="1" t="s">
        <v>7</v>
      </c>
      <c r="D19" s="10">
        <v>48408</v>
      </c>
      <c r="E19" s="10">
        <v>18354</v>
      </c>
    </row>
    <row r="20" spans="1:5" ht="15.75" customHeight="1">
      <c r="A20" s="1">
        <v>12</v>
      </c>
      <c r="B20" s="11" t="s">
        <v>34</v>
      </c>
      <c r="C20" s="1" t="s">
        <v>7</v>
      </c>
      <c r="D20" s="10">
        <f>51054+738+1033</f>
        <v>52825</v>
      </c>
      <c r="E20" s="10">
        <v>29607</v>
      </c>
    </row>
    <row r="21" spans="1:5" ht="15.75" customHeight="1">
      <c r="A21" s="1">
        <v>13</v>
      </c>
      <c r="B21" s="11" t="s">
        <v>35</v>
      </c>
      <c r="C21" s="1" t="s">
        <v>7</v>
      </c>
      <c r="D21" s="10">
        <f>851+77881+5187</f>
        <v>83919</v>
      </c>
      <c r="E21" s="10">
        <f>120+37665+2304</f>
        <v>40089</v>
      </c>
    </row>
    <row r="22" spans="1:5" ht="15.75" customHeight="1">
      <c r="A22" s="1">
        <v>14</v>
      </c>
      <c r="B22" s="11" t="s">
        <v>36</v>
      </c>
      <c r="C22" s="1" t="s">
        <v>7</v>
      </c>
      <c r="D22" s="10">
        <f>3813+18889</f>
        <v>22702</v>
      </c>
      <c r="E22" s="10">
        <f>1257+12791</f>
        <v>14048</v>
      </c>
    </row>
    <row r="23" spans="1:5" ht="15.75" customHeight="1">
      <c r="A23" s="1">
        <v>15</v>
      </c>
      <c r="B23" s="11" t="s">
        <v>37</v>
      </c>
      <c r="C23" s="1" t="s">
        <v>7</v>
      </c>
      <c r="D23" s="10">
        <f>4958+78191+4768</f>
        <v>87917</v>
      </c>
      <c r="E23" s="10">
        <f>1973+37393+2326</f>
        <v>41692</v>
      </c>
    </row>
    <row r="24" spans="1:5" ht="15.75" customHeight="1">
      <c r="A24" s="1">
        <v>16</v>
      </c>
      <c r="B24" s="11" t="s">
        <v>38</v>
      </c>
      <c r="C24" s="1" t="s">
        <v>7</v>
      </c>
      <c r="D24" s="10">
        <f>2141+9217+5241+2785+65464</f>
        <v>84848</v>
      </c>
      <c r="E24" s="10">
        <f>242+6435+2260+1042+70322</f>
        <v>80301</v>
      </c>
    </row>
    <row r="25" spans="1:5" ht="15.75" customHeight="1">
      <c r="A25" s="1">
        <v>17</v>
      </c>
      <c r="B25" s="15" t="s">
        <v>39</v>
      </c>
      <c r="C25" s="1" t="s">
        <v>7</v>
      </c>
      <c r="D25" s="10">
        <v>26518</v>
      </c>
      <c r="E25" s="10">
        <v>39723</v>
      </c>
    </row>
    <row r="26" spans="1:5" ht="13.5" customHeight="1">
      <c r="A26" s="26" t="s">
        <v>8</v>
      </c>
      <c r="B26" s="27"/>
      <c r="C26" s="3" t="s">
        <v>7</v>
      </c>
      <c r="D26" s="14">
        <f>SUM(D9:D25)</f>
        <v>898461</v>
      </c>
      <c r="E26" s="14">
        <f>SUM(E9:E25)</f>
        <v>553596</v>
      </c>
    </row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16" sqref="E16"/>
    </sheetView>
  </sheetViews>
  <sheetFormatPr defaultColWidth="9.125" defaultRowHeight="12.75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16" t="s">
        <v>5</v>
      </c>
      <c r="D1" s="16"/>
      <c r="E1" s="16"/>
    </row>
    <row r="2" spans="4:5" ht="12.75">
      <c r="D2" s="16" t="s">
        <v>6</v>
      </c>
      <c r="E2" s="16"/>
    </row>
    <row r="4" spans="1:6" ht="12.75" customHeight="1">
      <c r="A4" s="21" t="s">
        <v>43</v>
      </c>
      <c r="B4" s="21"/>
      <c r="C4" s="21"/>
      <c r="D4" s="21"/>
      <c r="E4" s="21"/>
      <c r="F4" s="2"/>
    </row>
    <row r="5" spans="1:6" ht="30.75" customHeight="1">
      <c r="A5" s="21"/>
      <c r="B5" s="21"/>
      <c r="C5" s="21"/>
      <c r="D5" s="21"/>
      <c r="E5" s="21"/>
      <c r="F5" s="2"/>
    </row>
    <row r="7" spans="1:5" ht="27.75" customHeight="1">
      <c r="A7" s="22" t="s">
        <v>0</v>
      </c>
      <c r="B7" s="24" t="s">
        <v>1</v>
      </c>
      <c r="C7" s="19" t="s">
        <v>4</v>
      </c>
      <c r="D7" s="18" t="s">
        <v>19</v>
      </c>
      <c r="E7" s="18"/>
    </row>
    <row r="8" spans="1:5" ht="28.5" customHeight="1">
      <c r="A8" s="23"/>
      <c r="B8" s="25"/>
      <c r="C8" s="20"/>
      <c r="D8" s="12" t="s">
        <v>3</v>
      </c>
      <c r="E8" s="12" t="s">
        <v>2</v>
      </c>
    </row>
    <row r="9" spans="1:5" ht="15.75" customHeight="1">
      <c r="A9" s="1">
        <v>1</v>
      </c>
      <c r="B9" s="11" t="s">
        <v>24</v>
      </c>
      <c r="C9" s="1" t="s">
        <v>7</v>
      </c>
      <c r="D9" s="10">
        <f>63908+11410</f>
        <v>75318</v>
      </c>
      <c r="E9" s="10">
        <f>3465+41108</f>
        <v>44573</v>
      </c>
    </row>
    <row r="10" spans="1:5" ht="15.75" customHeight="1">
      <c r="A10" s="1">
        <v>2</v>
      </c>
      <c r="B10" s="11" t="s">
        <v>25</v>
      </c>
      <c r="C10" s="1" t="s">
        <v>7</v>
      </c>
      <c r="D10" s="10">
        <v>65647</v>
      </c>
      <c r="E10" s="10">
        <v>10331</v>
      </c>
    </row>
    <row r="11" spans="1:5" ht="15.75" customHeight="1">
      <c r="A11" s="1">
        <v>3</v>
      </c>
      <c r="B11" s="11" t="s">
        <v>26</v>
      </c>
      <c r="C11" s="1" t="s">
        <v>7</v>
      </c>
      <c r="D11" s="10">
        <f>59548+26855+13604+6107+8167</f>
        <v>114281</v>
      </c>
      <c r="E11" s="10">
        <f>74195+30247+4261+2615+2228</f>
        <v>113546</v>
      </c>
    </row>
    <row r="12" spans="1:5" ht="15.75" customHeight="1">
      <c r="A12" s="1">
        <v>4</v>
      </c>
      <c r="B12" s="11" t="s">
        <v>27</v>
      </c>
      <c r="C12" s="1" t="s">
        <v>7</v>
      </c>
      <c r="D12" s="10">
        <v>51541</v>
      </c>
      <c r="E12" s="10">
        <v>58729</v>
      </c>
    </row>
    <row r="13" spans="1:5" ht="15.75" customHeight="1">
      <c r="A13" s="1">
        <v>5</v>
      </c>
      <c r="B13" s="11" t="s">
        <v>28</v>
      </c>
      <c r="C13" s="1" t="s">
        <v>7</v>
      </c>
      <c r="D13" s="10">
        <f>5904+58873</f>
        <v>64777</v>
      </c>
      <c r="E13" s="10">
        <f>1905+26508</f>
        <v>28413</v>
      </c>
    </row>
    <row r="14" spans="1:5" ht="15.75" customHeight="1">
      <c r="A14" s="1">
        <v>6</v>
      </c>
      <c r="B14" s="11" t="s">
        <v>29</v>
      </c>
      <c r="C14" s="1" t="s">
        <v>7</v>
      </c>
      <c r="D14" s="10">
        <f>9998+39942+16870</f>
        <v>66810</v>
      </c>
      <c r="E14" s="10">
        <f>3048+37622+12617</f>
        <v>53287</v>
      </c>
    </row>
    <row r="15" spans="1:5" ht="15.75" customHeight="1">
      <c r="A15" s="1">
        <v>7</v>
      </c>
      <c r="B15" s="11" t="s">
        <v>30</v>
      </c>
      <c r="C15" s="1" t="s">
        <v>7</v>
      </c>
      <c r="D15" s="10">
        <f>75237+951</f>
        <v>76188</v>
      </c>
      <c r="E15" s="10">
        <f>24244+424</f>
        <v>24668</v>
      </c>
    </row>
    <row r="16" spans="1:5" ht="15.75" customHeight="1">
      <c r="A16" s="1">
        <v>8</v>
      </c>
      <c r="B16" s="11" t="s">
        <v>23</v>
      </c>
      <c r="C16" s="1" t="s">
        <v>7</v>
      </c>
      <c r="D16" s="10">
        <v>16974</v>
      </c>
      <c r="E16" s="10">
        <v>9367</v>
      </c>
    </row>
    <row r="17" spans="1:5" ht="15.75" customHeight="1">
      <c r="A17" s="1">
        <v>9</v>
      </c>
      <c r="B17" s="11" t="s">
        <v>31</v>
      </c>
      <c r="C17" s="1" t="s">
        <v>7</v>
      </c>
      <c r="D17" s="10">
        <f>12885+12855+1202</f>
        <v>26942</v>
      </c>
      <c r="E17" s="10">
        <f>1509+5646+875</f>
        <v>8030</v>
      </c>
    </row>
    <row r="18" spans="1:5" ht="15.75" customHeight="1">
      <c r="A18" s="1">
        <v>10</v>
      </c>
      <c r="B18" s="11" t="s">
        <v>32</v>
      </c>
      <c r="C18" s="1" t="s">
        <v>7</v>
      </c>
      <c r="D18" s="10">
        <v>24229</v>
      </c>
      <c r="E18" s="10">
        <v>25586</v>
      </c>
    </row>
    <row r="19" spans="1:5" ht="15.75" customHeight="1">
      <c r="A19" s="1">
        <v>11</v>
      </c>
      <c r="B19" s="11" t="s">
        <v>33</v>
      </c>
      <c r="C19" s="1" t="s">
        <v>7</v>
      </c>
      <c r="D19" s="10">
        <v>53070</v>
      </c>
      <c r="E19" s="10">
        <v>18591</v>
      </c>
    </row>
    <row r="20" spans="1:5" ht="15.75" customHeight="1">
      <c r="A20" s="1">
        <v>12</v>
      </c>
      <c r="B20" s="11" t="s">
        <v>34</v>
      </c>
      <c r="C20" s="1" t="s">
        <v>7</v>
      </c>
      <c r="D20" s="10">
        <v>53223</v>
      </c>
      <c r="E20" s="10">
        <v>27287</v>
      </c>
    </row>
    <row r="21" spans="1:5" ht="15.75" customHeight="1">
      <c r="A21" s="1">
        <v>13</v>
      </c>
      <c r="B21" s="11" t="s">
        <v>35</v>
      </c>
      <c r="C21" s="1" t="s">
        <v>7</v>
      </c>
      <c r="D21" s="10">
        <f>883+87665+6349</f>
        <v>94897</v>
      </c>
      <c r="E21" s="10">
        <f>328+52588+2544</f>
        <v>55460</v>
      </c>
    </row>
    <row r="22" spans="1:5" ht="15.75" customHeight="1">
      <c r="A22" s="1">
        <v>14</v>
      </c>
      <c r="B22" s="11" t="s">
        <v>36</v>
      </c>
      <c r="C22" s="1" t="s">
        <v>7</v>
      </c>
      <c r="D22" s="10">
        <f>5930+23838</f>
        <v>29768</v>
      </c>
      <c r="E22" s="10">
        <f>1501+19118</f>
        <v>20619</v>
      </c>
    </row>
    <row r="23" spans="1:5" ht="15.75" customHeight="1">
      <c r="A23" s="1">
        <v>15</v>
      </c>
      <c r="B23" s="11" t="s">
        <v>37</v>
      </c>
      <c r="C23" s="1" t="s">
        <v>7</v>
      </c>
      <c r="D23" s="10">
        <f>5503+85957+6887</f>
        <v>98347</v>
      </c>
      <c r="E23" s="10">
        <f>5941+55684+3231</f>
        <v>64856</v>
      </c>
    </row>
    <row r="24" spans="1:5" ht="15.75" customHeight="1">
      <c r="A24" s="1">
        <v>16</v>
      </c>
      <c r="B24" s="11" t="s">
        <v>38</v>
      </c>
      <c r="C24" s="1" t="s">
        <v>7</v>
      </c>
      <c r="D24" s="10">
        <f>11516+5624+2502+1891+73503</f>
        <v>95036</v>
      </c>
      <c r="E24" s="10">
        <f>347+8014+3095+1750+94868</f>
        <v>108074</v>
      </c>
    </row>
    <row r="25" spans="1:5" ht="15.75" customHeight="1">
      <c r="A25" s="1">
        <v>17</v>
      </c>
      <c r="B25" s="15" t="s">
        <v>40</v>
      </c>
      <c r="C25" s="1" t="s">
        <v>7</v>
      </c>
      <c r="D25" s="10">
        <v>28353</v>
      </c>
      <c r="E25" s="10">
        <v>52174</v>
      </c>
    </row>
    <row r="26" spans="1:5" ht="13.5" customHeight="1">
      <c r="A26" s="26" t="s">
        <v>8</v>
      </c>
      <c r="B26" s="27"/>
      <c r="C26" s="3" t="s">
        <v>7</v>
      </c>
      <c r="D26" s="14">
        <f>SUM(D9:D25)</f>
        <v>1035401</v>
      </c>
      <c r="E26" s="14">
        <f>SUM(E9:E25)</f>
        <v>723591</v>
      </c>
    </row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F18" sqref="F18"/>
    </sheetView>
  </sheetViews>
  <sheetFormatPr defaultColWidth="9.125" defaultRowHeight="12.75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16" t="s">
        <v>5</v>
      </c>
      <c r="D1" s="16"/>
      <c r="E1" s="16"/>
    </row>
    <row r="2" spans="4:5" ht="12.75">
      <c r="D2" s="16" t="s">
        <v>6</v>
      </c>
      <c r="E2" s="16"/>
    </row>
    <row r="4" spans="1:6" ht="12.75" customHeight="1">
      <c r="A4" s="21" t="s">
        <v>42</v>
      </c>
      <c r="B4" s="21"/>
      <c r="C4" s="21"/>
      <c r="D4" s="21"/>
      <c r="E4" s="21"/>
      <c r="F4" s="2"/>
    </row>
    <row r="5" spans="1:6" ht="30.75" customHeight="1">
      <c r="A5" s="21"/>
      <c r="B5" s="21"/>
      <c r="C5" s="21"/>
      <c r="D5" s="21"/>
      <c r="E5" s="21"/>
      <c r="F5" s="2"/>
    </row>
    <row r="7" spans="1:5" ht="27.75" customHeight="1">
      <c r="A7" s="22" t="s">
        <v>0</v>
      </c>
      <c r="B7" s="24" t="s">
        <v>1</v>
      </c>
      <c r="C7" s="19" t="s">
        <v>4</v>
      </c>
      <c r="D7" s="18" t="s">
        <v>10</v>
      </c>
      <c r="E7" s="18"/>
    </row>
    <row r="8" spans="1:5" ht="28.5" customHeight="1">
      <c r="A8" s="23"/>
      <c r="B8" s="25"/>
      <c r="C8" s="20"/>
      <c r="D8" s="12" t="s">
        <v>3</v>
      </c>
      <c r="E8" s="12" t="s">
        <v>2</v>
      </c>
    </row>
    <row r="9" spans="1:5" ht="15.75" customHeight="1">
      <c r="A9" s="1">
        <v>1</v>
      </c>
      <c r="B9" s="11" t="s">
        <v>24</v>
      </c>
      <c r="C9" s="1" t="s">
        <v>7</v>
      </c>
      <c r="D9" s="10">
        <f>70165+12340</f>
        <v>82505</v>
      </c>
      <c r="E9" s="10">
        <f>3295+36931</f>
        <v>40226</v>
      </c>
    </row>
    <row r="10" spans="1:5" ht="15.75" customHeight="1">
      <c r="A10" s="1">
        <v>2</v>
      </c>
      <c r="B10" s="11" t="s">
        <v>25</v>
      </c>
      <c r="C10" s="1" t="s">
        <v>7</v>
      </c>
      <c r="D10" s="10">
        <v>48992</v>
      </c>
      <c r="E10" s="10">
        <v>8288</v>
      </c>
    </row>
    <row r="11" spans="1:5" ht="15.75" customHeight="1">
      <c r="A11" s="1">
        <v>3</v>
      </c>
      <c r="B11" s="11" t="s">
        <v>26</v>
      </c>
      <c r="C11" s="1" t="s">
        <v>7</v>
      </c>
      <c r="D11" s="10">
        <f>56536+28567+15345+4929+8219</f>
        <v>113596</v>
      </c>
      <c r="E11" s="10">
        <f>66918+27545+4775+2947+2417</f>
        <v>104602</v>
      </c>
    </row>
    <row r="12" spans="1:5" ht="15.75" customHeight="1">
      <c r="A12" s="1">
        <v>4</v>
      </c>
      <c r="B12" s="11" t="s">
        <v>27</v>
      </c>
      <c r="C12" s="1" t="s">
        <v>7</v>
      </c>
      <c r="D12" s="10">
        <v>56835</v>
      </c>
      <c r="E12" s="10">
        <v>61413</v>
      </c>
    </row>
    <row r="13" spans="1:5" ht="15.75" customHeight="1">
      <c r="A13" s="1">
        <v>5</v>
      </c>
      <c r="B13" s="11" t="s">
        <v>28</v>
      </c>
      <c r="C13" s="1" t="s">
        <v>7</v>
      </c>
      <c r="D13" s="10">
        <f>4092+54795</f>
        <v>58887</v>
      </c>
      <c r="E13" s="10">
        <f>20860+2259</f>
        <v>23119</v>
      </c>
    </row>
    <row r="14" spans="1:5" ht="15.75" customHeight="1">
      <c r="A14" s="1">
        <v>6</v>
      </c>
      <c r="B14" s="11" t="s">
        <v>29</v>
      </c>
      <c r="C14" s="1" t="s">
        <v>7</v>
      </c>
      <c r="D14" s="10">
        <f>9252+38040+17820</f>
        <v>65112</v>
      </c>
      <c r="E14" s="10">
        <f>4480+41340+17113</f>
        <v>62933</v>
      </c>
    </row>
    <row r="15" spans="1:5" ht="15.75" customHeight="1">
      <c r="A15" s="1">
        <v>7</v>
      </c>
      <c r="B15" s="11" t="s">
        <v>30</v>
      </c>
      <c r="C15" s="1" t="s">
        <v>7</v>
      </c>
      <c r="D15" s="10">
        <f>70795+881</f>
        <v>71676</v>
      </c>
      <c r="E15" s="10">
        <f>18949+431</f>
        <v>19380</v>
      </c>
    </row>
    <row r="16" spans="1:5" ht="15.75" customHeight="1">
      <c r="A16" s="1">
        <v>8</v>
      </c>
      <c r="B16" s="11" t="s">
        <v>23</v>
      </c>
      <c r="C16" s="1" t="s">
        <v>7</v>
      </c>
      <c r="D16" s="10">
        <v>13570</v>
      </c>
      <c r="E16" s="10">
        <v>10411</v>
      </c>
    </row>
    <row r="17" spans="1:5" ht="15.75" customHeight="1">
      <c r="A17" s="1">
        <v>9</v>
      </c>
      <c r="B17" s="11" t="s">
        <v>31</v>
      </c>
      <c r="C17" s="1" t="s">
        <v>7</v>
      </c>
      <c r="D17" s="10">
        <f>13608+11318+1219</f>
        <v>26145</v>
      </c>
      <c r="E17" s="10">
        <f>1751+6139+819</f>
        <v>8709</v>
      </c>
    </row>
    <row r="18" spans="1:5" ht="15.75" customHeight="1">
      <c r="A18" s="1">
        <v>10</v>
      </c>
      <c r="B18" s="11" t="s">
        <v>32</v>
      </c>
      <c r="C18" s="1" t="s">
        <v>7</v>
      </c>
      <c r="D18" s="10">
        <v>32806</v>
      </c>
      <c r="E18" s="10">
        <v>20803</v>
      </c>
    </row>
    <row r="19" spans="1:5" ht="15.75" customHeight="1">
      <c r="A19" s="1">
        <v>11</v>
      </c>
      <c r="B19" s="11" t="s">
        <v>33</v>
      </c>
      <c r="C19" s="1" t="s">
        <v>7</v>
      </c>
      <c r="D19" s="10">
        <v>52312</v>
      </c>
      <c r="E19" s="10">
        <v>18570</v>
      </c>
    </row>
    <row r="20" spans="1:5" ht="15.75" customHeight="1">
      <c r="A20" s="1">
        <v>12</v>
      </c>
      <c r="B20" s="11" t="s">
        <v>34</v>
      </c>
      <c r="C20" s="1" t="s">
        <v>7</v>
      </c>
      <c r="D20" s="10">
        <f>56665+868+538</f>
        <v>58071</v>
      </c>
      <c r="E20" s="10">
        <v>31238</v>
      </c>
    </row>
    <row r="21" spans="1:5" ht="15.75" customHeight="1">
      <c r="A21" s="1">
        <v>13</v>
      </c>
      <c r="B21" s="11" t="s">
        <v>35</v>
      </c>
      <c r="C21" s="1" t="s">
        <v>7</v>
      </c>
      <c r="D21" s="10">
        <f>884+84740+8094</f>
        <v>93718</v>
      </c>
      <c r="E21" s="10">
        <f>395+66365+2828</f>
        <v>69588</v>
      </c>
    </row>
    <row r="22" spans="1:5" ht="15.75" customHeight="1">
      <c r="A22" s="1">
        <v>14</v>
      </c>
      <c r="B22" s="11" t="s">
        <v>36</v>
      </c>
      <c r="C22" s="1" t="s">
        <v>7</v>
      </c>
      <c r="D22" s="10">
        <f>4851+21235</f>
        <v>26086</v>
      </c>
      <c r="E22" s="10">
        <f>1437+19166</f>
        <v>20603</v>
      </c>
    </row>
    <row r="23" spans="1:5" ht="15.75" customHeight="1">
      <c r="A23" s="1">
        <v>15</v>
      </c>
      <c r="B23" s="11" t="s">
        <v>37</v>
      </c>
      <c r="C23" s="1" t="s">
        <v>7</v>
      </c>
      <c r="D23" s="10">
        <f>5249+73771+6545</f>
        <v>85565</v>
      </c>
      <c r="E23" s="10">
        <f>5633+49202+4315</f>
        <v>59150</v>
      </c>
    </row>
    <row r="24" spans="1:5" ht="15.75" customHeight="1">
      <c r="A24" s="1">
        <v>16</v>
      </c>
      <c r="B24" s="11" t="s">
        <v>38</v>
      </c>
      <c r="C24" s="1" t="s">
        <v>7</v>
      </c>
      <c r="D24" s="10">
        <f>1804+8958+5852+2131+73377</f>
        <v>92122</v>
      </c>
      <c r="E24" s="10">
        <f>454+9073+4183+2084+91681</f>
        <v>107475</v>
      </c>
    </row>
    <row r="25" spans="1:5" ht="15.75" customHeight="1">
      <c r="A25" s="1">
        <v>17</v>
      </c>
      <c r="B25" s="15" t="s">
        <v>39</v>
      </c>
      <c r="C25" s="1" t="s">
        <v>7</v>
      </c>
      <c r="D25" s="10">
        <v>23002</v>
      </c>
      <c r="E25" s="10">
        <v>45156.541</v>
      </c>
    </row>
    <row r="26" spans="1:5" ht="13.5" customHeight="1">
      <c r="A26" s="26" t="s">
        <v>8</v>
      </c>
      <c r="B26" s="27"/>
      <c r="C26" s="3" t="s">
        <v>7</v>
      </c>
      <c r="D26" s="14">
        <f>SUM(D9:D25)</f>
        <v>1001000</v>
      </c>
      <c r="E26" s="14">
        <f>SUM(E9:E25)</f>
        <v>711664.541</v>
      </c>
    </row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D26" sqref="D26"/>
    </sheetView>
  </sheetViews>
  <sheetFormatPr defaultColWidth="9.00390625" defaultRowHeight="12.75" outlineLevelRow="1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16" t="s">
        <v>5</v>
      </c>
      <c r="D1" s="16"/>
      <c r="E1" s="16"/>
    </row>
    <row r="2" spans="4:5" ht="12.75">
      <c r="D2" s="16" t="s">
        <v>6</v>
      </c>
      <c r="E2" s="16"/>
    </row>
    <row r="4" spans="1:6" ht="12.75" customHeight="1">
      <c r="A4" s="21" t="s">
        <v>41</v>
      </c>
      <c r="B4" s="21"/>
      <c r="C4" s="21"/>
      <c r="D4" s="21"/>
      <c r="E4" s="21"/>
      <c r="F4" s="2"/>
    </row>
    <row r="5" spans="1:6" ht="30.75" customHeight="1">
      <c r="A5" s="21"/>
      <c r="B5" s="21"/>
      <c r="C5" s="21"/>
      <c r="D5" s="21"/>
      <c r="E5" s="21"/>
      <c r="F5" s="2"/>
    </row>
    <row r="7" spans="1:5" ht="27.75" customHeight="1">
      <c r="A7" s="22" t="s">
        <v>0</v>
      </c>
      <c r="B7" s="18" t="s">
        <v>1</v>
      </c>
      <c r="C7" s="19" t="s">
        <v>4</v>
      </c>
      <c r="D7" s="18" t="s">
        <v>20</v>
      </c>
      <c r="E7" s="18"/>
    </row>
    <row r="8" spans="1:5" ht="28.5" customHeight="1">
      <c r="A8" s="23"/>
      <c r="B8" s="18"/>
      <c r="C8" s="20"/>
      <c r="D8" s="12" t="s">
        <v>3</v>
      </c>
      <c r="E8" s="12" t="s">
        <v>2</v>
      </c>
    </row>
    <row r="9" spans="1:9" ht="15.75" customHeight="1">
      <c r="A9" s="1">
        <v>1</v>
      </c>
      <c r="B9" s="11" t="s">
        <v>24</v>
      </c>
      <c r="C9" s="1" t="s">
        <v>7</v>
      </c>
      <c r="D9" s="10">
        <v>84107</v>
      </c>
      <c r="E9" s="10">
        <v>34255</v>
      </c>
      <c r="F9" s="7"/>
      <c r="G9" s="4"/>
      <c r="H9" s="4"/>
      <c r="I9" s="4"/>
    </row>
    <row r="10" spans="1:9" ht="15.75" customHeight="1">
      <c r="A10" s="1">
        <v>2</v>
      </c>
      <c r="B10" s="11" t="s">
        <v>25</v>
      </c>
      <c r="C10" s="1" t="s">
        <v>7</v>
      </c>
      <c r="D10" s="10">
        <v>60843</v>
      </c>
      <c r="E10" s="10">
        <v>9864</v>
      </c>
      <c r="F10" s="7"/>
      <c r="G10" s="4"/>
      <c r="H10" s="4"/>
      <c r="I10" s="4"/>
    </row>
    <row r="11" spans="1:9" ht="15.75" customHeight="1">
      <c r="A11" s="1">
        <v>3</v>
      </c>
      <c r="B11" s="11" t="s">
        <v>26</v>
      </c>
      <c r="C11" s="1" t="s">
        <v>7</v>
      </c>
      <c r="D11" s="10">
        <f>66164+33663+13029+6210+10821</f>
        <v>129887</v>
      </c>
      <c r="E11" s="10">
        <v>108434</v>
      </c>
      <c r="F11" s="7"/>
      <c r="G11" s="4"/>
      <c r="H11" s="4"/>
      <c r="I11" s="4"/>
    </row>
    <row r="12" spans="1:9" ht="15.75" customHeight="1">
      <c r="A12" s="1">
        <v>4</v>
      </c>
      <c r="B12" s="11" t="s">
        <v>27</v>
      </c>
      <c r="C12" s="1" t="s">
        <v>7</v>
      </c>
      <c r="D12" s="10">
        <v>62698</v>
      </c>
      <c r="E12" s="10">
        <v>63625</v>
      </c>
      <c r="F12" s="7"/>
      <c r="G12" s="4"/>
      <c r="H12" s="4"/>
      <c r="I12" s="4"/>
    </row>
    <row r="13" spans="1:9" ht="15.75" customHeight="1">
      <c r="A13" s="1">
        <v>5</v>
      </c>
      <c r="B13" s="11" t="s">
        <v>28</v>
      </c>
      <c r="C13" s="1" t="s">
        <v>7</v>
      </c>
      <c r="D13" s="10">
        <f>5773+76270</f>
        <v>82043</v>
      </c>
      <c r="E13" s="10">
        <v>35331</v>
      </c>
      <c r="F13" s="7"/>
      <c r="G13" s="4"/>
      <c r="H13" s="4"/>
      <c r="I13" s="4"/>
    </row>
    <row r="14" spans="1:9" ht="15.75" customHeight="1">
      <c r="A14" s="1">
        <v>6</v>
      </c>
      <c r="B14" s="11" t="s">
        <v>29</v>
      </c>
      <c r="C14" s="1" t="s">
        <v>7</v>
      </c>
      <c r="D14" s="10">
        <v>45794</v>
      </c>
      <c r="E14" s="10">
        <v>51192</v>
      </c>
      <c r="F14" s="7"/>
      <c r="G14" s="4"/>
      <c r="H14" s="4"/>
      <c r="I14" s="4"/>
    </row>
    <row r="15" spans="1:9" ht="15.75" customHeight="1">
      <c r="A15" s="1">
        <v>7</v>
      </c>
      <c r="B15" s="11" t="s">
        <v>30</v>
      </c>
      <c r="C15" s="1" t="s">
        <v>7</v>
      </c>
      <c r="D15" s="10">
        <f>93817+1454</f>
        <v>95271</v>
      </c>
      <c r="E15" s="10">
        <f>23268+238</f>
        <v>23506</v>
      </c>
      <c r="F15" s="7"/>
      <c r="G15" s="4"/>
      <c r="H15" s="4"/>
      <c r="I15" s="4"/>
    </row>
    <row r="16" spans="1:9" ht="15.75" customHeight="1">
      <c r="A16" s="1">
        <v>8</v>
      </c>
      <c r="B16" s="11" t="s">
        <v>23</v>
      </c>
      <c r="C16" s="1" t="s">
        <v>7</v>
      </c>
      <c r="D16" s="10">
        <v>22342</v>
      </c>
      <c r="E16" s="10">
        <v>11070</v>
      </c>
      <c r="F16" s="7"/>
      <c r="G16" s="4"/>
      <c r="H16" s="4"/>
      <c r="I16" s="4"/>
    </row>
    <row r="17" spans="1:9" ht="15.75" customHeight="1">
      <c r="A17" s="1">
        <v>9</v>
      </c>
      <c r="B17" s="11" t="s">
        <v>31</v>
      </c>
      <c r="C17" s="1" t="s">
        <v>7</v>
      </c>
      <c r="D17" s="10">
        <f>16893+16773+1735</f>
        <v>35401</v>
      </c>
      <c r="E17" s="10">
        <v>11507</v>
      </c>
      <c r="F17" s="7"/>
      <c r="G17" s="4"/>
      <c r="H17" s="4"/>
      <c r="I17" s="4"/>
    </row>
    <row r="18" spans="1:9" ht="15.75" customHeight="1">
      <c r="A18" s="1">
        <v>10</v>
      </c>
      <c r="B18" s="11" t="s">
        <v>32</v>
      </c>
      <c r="C18" s="1" t="s">
        <v>7</v>
      </c>
      <c r="D18" s="10">
        <v>40415</v>
      </c>
      <c r="E18" s="10">
        <v>23359.2</v>
      </c>
      <c r="F18" s="7"/>
      <c r="G18" s="4"/>
      <c r="H18" s="4"/>
      <c r="I18" s="4"/>
    </row>
    <row r="19" spans="1:9" ht="15.75" customHeight="1">
      <c r="A19" s="1">
        <v>11</v>
      </c>
      <c r="B19" s="11" t="s">
        <v>33</v>
      </c>
      <c r="C19" s="1" t="s">
        <v>7</v>
      </c>
      <c r="D19" s="10">
        <v>60187</v>
      </c>
      <c r="E19" s="10">
        <v>31177</v>
      </c>
      <c r="F19" s="7"/>
      <c r="G19" s="4"/>
      <c r="H19" s="4"/>
      <c r="I19" s="4"/>
    </row>
    <row r="20" spans="1:9" ht="15.75" customHeight="1">
      <c r="A20" s="1">
        <v>12</v>
      </c>
      <c r="B20" s="11" t="s">
        <v>34</v>
      </c>
      <c r="C20" s="1" t="s">
        <v>7</v>
      </c>
      <c r="D20" s="10">
        <f>79585+17</f>
        <v>79602</v>
      </c>
      <c r="E20" s="10">
        <v>37278</v>
      </c>
      <c r="F20" s="7"/>
      <c r="G20" s="4"/>
      <c r="H20" s="4"/>
      <c r="I20" s="4"/>
    </row>
    <row r="21" spans="1:9" ht="15.75" customHeight="1">
      <c r="A21" s="1">
        <v>13</v>
      </c>
      <c r="B21" s="11" t="s">
        <v>35</v>
      </c>
      <c r="C21" s="1" t="s">
        <v>7</v>
      </c>
      <c r="D21" s="10">
        <f>551+96873+9677</f>
        <v>107101</v>
      </c>
      <c r="E21" s="10">
        <v>70371</v>
      </c>
      <c r="F21" s="7"/>
      <c r="G21" s="4"/>
      <c r="H21" s="4"/>
      <c r="I21" s="4"/>
    </row>
    <row r="22" spans="1:9" ht="15.75" customHeight="1">
      <c r="A22" s="1">
        <v>14</v>
      </c>
      <c r="B22" s="11" t="s">
        <v>36</v>
      </c>
      <c r="C22" s="1" t="s">
        <v>7</v>
      </c>
      <c r="D22" s="10">
        <f>7709+27754</f>
        <v>35463</v>
      </c>
      <c r="E22" s="10">
        <v>18238</v>
      </c>
      <c r="F22" s="7"/>
      <c r="G22" s="4"/>
      <c r="H22" s="4"/>
      <c r="I22" s="4"/>
    </row>
    <row r="23" spans="1:9" ht="15.75" customHeight="1">
      <c r="A23" s="1">
        <v>15</v>
      </c>
      <c r="B23" s="13" t="s">
        <v>37</v>
      </c>
      <c r="C23" s="1" t="s">
        <v>7</v>
      </c>
      <c r="D23" s="10">
        <f>7430+113759+8218</f>
        <v>129407</v>
      </c>
      <c r="E23" s="10">
        <v>64450</v>
      </c>
      <c r="F23" s="7"/>
      <c r="G23" s="4"/>
      <c r="H23" s="4"/>
      <c r="I23" s="4"/>
    </row>
    <row r="24" spans="1:9" ht="15.75" customHeight="1">
      <c r="A24" s="1">
        <v>16</v>
      </c>
      <c r="B24" s="13" t="s">
        <v>38</v>
      </c>
      <c r="C24" s="1" t="s">
        <v>7</v>
      </c>
      <c r="D24" s="10">
        <f>2671+1913+115887</f>
        <v>120471</v>
      </c>
      <c r="E24" s="10">
        <v>128503</v>
      </c>
      <c r="F24" s="7"/>
      <c r="G24" s="4"/>
      <c r="H24" s="4"/>
      <c r="I24" s="4"/>
    </row>
    <row r="25" spans="1:9" ht="15.75" customHeight="1">
      <c r="A25" s="1">
        <v>17</v>
      </c>
      <c r="B25" s="13" t="s">
        <v>40</v>
      </c>
      <c r="C25" s="1" t="s">
        <v>7</v>
      </c>
      <c r="D25" s="10">
        <v>37639</v>
      </c>
      <c r="E25" s="10">
        <v>77592</v>
      </c>
      <c r="F25" s="7"/>
      <c r="G25" s="4"/>
      <c r="H25" s="4"/>
      <c r="I25" s="4"/>
    </row>
    <row r="26" spans="1:5" ht="13.5" customHeight="1">
      <c r="A26" s="17" t="s">
        <v>8</v>
      </c>
      <c r="B26" s="17"/>
      <c r="C26" s="3" t="s">
        <v>7</v>
      </c>
      <c r="D26" s="14">
        <f>SUM(D9:D25)</f>
        <v>1228671</v>
      </c>
      <c r="E26" s="14">
        <f>SUM(E9:E25)</f>
        <v>799752.2</v>
      </c>
    </row>
    <row r="27" spans="4:6" ht="12.75" outlineLevel="1">
      <c r="D27" s="8"/>
      <c r="E27" s="8"/>
      <c r="F27" s="7"/>
    </row>
    <row r="28" spans="4:5" ht="12.75" outlineLevel="1">
      <c r="D28" s="8"/>
      <c r="E28" s="8"/>
    </row>
    <row r="32" ht="12.75">
      <c r="C32" s="9"/>
    </row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D26" sqref="D26"/>
    </sheetView>
  </sheetViews>
  <sheetFormatPr defaultColWidth="9.00390625" defaultRowHeight="12.75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16" t="s">
        <v>5</v>
      </c>
      <c r="D1" s="16"/>
      <c r="E1" s="16"/>
    </row>
    <row r="2" spans="4:5" ht="12.75">
      <c r="D2" s="16" t="s">
        <v>6</v>
      </c>
      <c r="E2" s="16"/>
    </row>
    <row r="4" spans="1:6" ht="12.75" customHeight="1">
      <c r="A4" s="21" t="s">
        <v>52</v>
      </c>
      <c r="B4" s="21"/>
      <c r="C4" s="21"/>
      <c r="D4" s="21"/>
      <c r="E4" s="21"/>
      <c r="F4" s="2"/>
    </row>
    <row r="5" spans="1:6" ht="30.75" customHeight="1">
      <c r="A5" s="21"/>
      <c r="B5" s="21"/>
      <c r="C5" s="21"/>
      <c r="D5" s="21"/>
      <c r="E5" s="21"/>
      <c r="F5" s="2"/>
    </row>
    <row r="7" spans="1:5" ht="27.75" customHeight="1">
      <c r="A7" s="22" t="s">
        <v>0</v>
      </c>
      <c r="B7" s="18" t="s">
        <v>1</v>
      </c>
      <c r="C7" s="19" t="s">
        <v>4</v>
      </c>
      <c r="D7" s="18" t="s">
        <v>21</v>
      </c>
      <c r="E7" s="18"/>
    </row>
    <row r="8" spans="1:5" ht="28.5" customHeight="1">
      <c r="A8" s="23"/>
      <c r="B8" s="18"/>
      <c r="C8" s="20"/>
      <c r="D8" s="12" t="s">
        <v>3</v>
      </c>
      <c r="E8" s="12" t="s">
        <v>2</v>
      </c>
    </row>
    <row r="9" spans="1:9" ht="15.75" customHeight="1">
      <c r="A9" s="1">
        <v>1</v>
      </c>
      <c r="B9" s="11" t="s">
        <v>24</v>
      </c>
      <c r="C9" s="1" t="s">
        <v>7</v>
      </c>
      <c r="D9" s="10">
        <v>93490</v>
      </c>
      <c r="E9" s="10">
        <v>40343</v>
      </c>
      <c r="F9" s="7"/>
      <c r="G9" s="4"/>
      <c r="H9" s="4"/>
      <c r="I9" s="4"/>
    </row>
    <row r="10" spans="1:9" ht="15.75" customHeight="1">
      <c r="A10" s="1">
        <v>2</v>
      </c>
      <c r="B10" s="11" t="s">
        <v>25</v>
      </c>
      <c r="C10" s="1" t="s">
        <v>7</v>
      </c>
      <c r="D10" s="10">
        <v>63057</v>
      </c>
      <c r="E10" s="10">
        <v>12679</v>
      </c>
      <c r="F10" s="7"/>
      <c r="G10" s="4"/>
      <c r="H10" s="4"/>
      <c r="I10" s="4"/>
    </row>
    <row r="11" spans="1:9" ht="15.75" customHeight="1">
      <c r="A11" s="1">
        <v>3</v>
      </c>
      <c r="B11" s="11" t="s">
        <v>26</v>
      </c>
      <c r="C11" s="1" t="s">
        <v>7</v>
      </c>
      <c r="D11" s="10">
        <v>139104</v>
      </c>
      <c r="E11" s="10">
        <v>132259</v>
      </c>
      <c r="F11" s="7"/>
      <c r="G11" s="4"/>
      <c r="H11" s="4"/>
      <c r="I11" s="4"/>
    </row>
    <row r="12" spans="1:9" ht="15.75" customHeight="1">
      <c r="A12" s="1">
        <v>4</v>
      </c>
      <c r="B12" s="11" t="s">
        <v>27</v>
      </c>
      <c r="C12" s="1" t="s">
        <v>7</v>
      </c>
      <c r="D12" s="10">
        <v>59755</v>
      </c>
      <c r="E12" s="10">
        <v>65715</v>
      </c>
      <c r="F12" s="7"/>
      <c r="G12" s="4"/>
      <c r="H12" s="4"/>
      <c r="I12" s="4"/>
    </row>
    <row r="13" spans="1:9" ht="15.75" customHeight="1">
      <c r="A13" s="1">
        <v>5</v>
      </c>
      <c r="B13" s="11" t="s">
        <v>28</v>
      </c>
      <c r="C13" s="1" t="s">
        <v>7</v>
      </c>
      <c r="D13" s="10">
        <v>80919</v>
      </c>
      <c r="E13" s="10">
        <v>24898</v>
      </c>
      <c r="F13" s="7"/>
      <c r="G13" s="4"/>
      <c r="H13" s="4"/>
      <c r="I13" s="4"/>
    </row>
    <row r="14" spans="1:9" ht="15.75" customHeight="1">
      <c r="A14" s="1">
        <v>6</v>
      </c>
      <c r="B14" s="11" t="s">
        <v>29</v>
      </c>
      <c r="C14" s="1" t="s">
        <v>7</v>
      </c>
      <c r="D14" s="10">
        <v>45782</v>
      </c>
      <c r="E14" s="10">
        <v>51034</v>
      </c>
      <c r="F14" s="7"/>
      <c r="G14" s="4"/>
      <c r="H14" s="4"/>
      <c r="I14" s="4"/>
    </row>
    <row r="15" spans="1:9" ht="15.75" customHeight="1">
      <c r="A15" s="1">
        <v>7</v>
      </c>
      <c r="B15" s="11" t="s">
        <v>30</v>
      </c>
      <c r="C15" s="1" t="s">
        <v>7</v>
      </c>
      <c r="D15" s="10">
        <v>99031</v>
      </c>
      <c r="E15" s="10">
        <v>27700</v>
      </c>
      <c r="F15" s="7"/>
      <c r="G15" s="4"/>
      <c r="H15" s="4"/>
      <c r="I15" s="4"/>
    </row>
    <row r="16" spans="1:9" ht="15.75" customHeight="1">
      <c r="A16" s="1">
        <v>8</v>
      </c>
      <c r="B16" s="11" t="s">
        <v>23</v>
      </c>
      <c r="C16" s="1" t="s">
        <v>7</v>
      </c>
      <c r="D16" s="10">
        <v>21592</v>
      </c>
      <c r="E16" s="10">
        <v>11741</v>
      </c>
      <c r="F16" s="7"/>
      <c r="G16" s="4"/>
      <c r="H16" s="4"/>
      <c r="I16" s="4"/>
    </row>
    <row r="17" spans="1:9" ht="15.75" customHeight="1">
      <c r="A17" s="1">
        <v>9</v>
      </c>
      <c r="B17" s="11" t="s">
        <v>31</v>
      </c>
      <c r="C17" s="1" t="s">
        <v>7</v>
      </c>
      <c r="D17" s="10">
        <v>38853</v>
      </c>
      <c r="E17" s="10">
        <v>12371</v>
      </c>
      <c r="F17" s="7"/>
      <c r="G17" s="4"/>
      <c r="H17" s="4"/>
      <c r="I17" s="4"/>
    </row>
    <row r="18" spans="1:9" ht="15.75" customHeight="1">
      <c r="A18" s="1">
        <v>10</v>
      </c>
      <c r="B18" s="11" t="s">
        <v>32</v>
      </c>
      <c r="C18" s="1" t="s">
        <v>7</v>
      </c>
      <c r="D18" s="10">
        <v>45993</v>
      </c>
      <c r="E18" s="10">
        <v>23054</v>
      </c>
      <c r="F18" s="7"/>
      <c r="G18" s="4"/>
      <c r="H18" s="4"/>
      <c r="I18" s="4"/>
    </row>
    <row r="19" spans="1:9" ht="15.75" customHeight="1">
      <c r="A19" s="1">
        <v>11</v>
      </c>
      <c r="B19" s="11" t="s">
        <v>33</v>
      </c>
      <c r="C19" s="1" t="s">
        <v>7</v>
      </c>
      <c r="D19" s="10">
        <v>72989</v>
      </c>
      <c r="E19" s="10">
        <v>30545</v>
      </c>
      <c r="F19" s="7"/>
      <c r="G19" s="4"/>
      <c r="H19" s="4"/>
      <c r="I19" s="4"/>
    </row>
    <row r="20" spans="1:9" ht="15.75" customHeight="1">
      <c r="A20" s="1">
        <v>12</v>
      </c>
      <c r="B20" s="11" t="s">
        <v>34</v>
      </c>
      <c r="C20" s="1" t="s">
        <v>7</v>
      </c>
      <c r="D20" s="10">
        <v>69410</v>
      </c>
      <c r="E20" s="10">
        <v>36297</v>
      </c>
      <c r="F20" s="7"/>
      <c r="G20" s="4"/>
      <c r="H20" s="4"/>
      <c r="I20" s="4"/>
    </row>
    <row r="21" spans="1:9" ht="15.75" customHeight="1">
      <c r="A21" s="1">
        <v>13</v>
      </c>
      <c r="B21" s="11" t="s">
        <v>35</v>
      </c>
      <c r="C21" s="1" t="s">
        <v>7</v>
      </c>
      <c r="D21" s="10">
        <v>101341</v>
      </c>
      <c r="E21" s="10">
        <v>67876</v>
      </c>
      <c r="F21" s="7"/>
      <c r="G21" s="4"/>
      <c r="H21" s="4"/>
      <c r="I21" s="4"/>
    </row>
    <row r="22" spans="1:9" ht="15.75" customHeight="1">
      <c r="A22" s="1">
        <v>14</v>
      </c>
      <c r="B22" s="11" t="s">
        <v>36</v>
      </c>
      <c r="C22" s="1" t="s">
        <v>7</v>
      </c>
      <c r="D22" s="10">
        <v>41111</v>
      </c>
      <c r="E22" s="10">
        <v>21255</v>
      </c>
      <c r="F22" s="7"/>
      <c r="G22" s="4"/>
      <c r="H22" s="4"/>
      <c r="I22" s="4"/>
    </row>
    <row r="23" spans="1:9" ht="15.75" customHeight="1">
      <c r="A23" s="1">
        <v>15</v>
      </c>
      <c r="B23" s="11" t="s">
        <v>37</v>
      </c>
      <c r="C23" s="1" t="s">
        <v>7</v>
      </c>
      <c r="D23" s="10">
        <v>120887</v>
      </c>
      <c r="E23" s="10">
        <v>67320</v>
      </c>
      <c r="F23" s="7"/>
      <c r="G23" s="4"/>
      <c r="H23" s="4"/>
      <c r="I23" s="4"/>
    </row>
    <row r="24" spans="1:9" ht="15.75" customHeight="1">
      <c r="A24" s="1">
        <v>16</v>
      </c>
      <c r="B24" s="11" t="s">
        <v>38</v>
      </c>
      <c r="C24" s="1" t="s">
        <v>7</v>
      </c>
      <c r="D24" s="10">
        <v>98869</v>
      </c>
      <c r="E24" s="10">
        <v>147211</v>
      </c>
      <c r="F24" s="7"/>
      <c r="G24" s="4"/>
      <c r="H24" s="4"/>
      <c r="I24" s="4"/>
    </row>
    <row r="25" spans="1:9" ht="15.75" customHeight="1">
      <c r="A25" s="1">
        <v>17</v>
      </c>
      <c r="B25" s="11" t="s">
        <v>40</v>
      </c>
      <c r="C25" s="1" t="s">
        <v>7</v>
      </c>
      <c r="D25" s="10">
        <v>39344</v>
      </c>
      <c r="E25" s="10">
        <v>87907</v>
      </c>
      <c r="F25" s="7"/>
      <c r="G25" s="4"/>
      <c r="H25" s="4"/>
      <c r="I25" s="4"/>
    </row>
    <row r="26" spans="1:5" ht="13.5" customHeight="1">
      <c r="A26" s="17" t="s">
        <v>8</v>
      </c>
      <c r="B26" s="17"/>
      <c r="C26" s="3" t="s">
        <v>7</v>
      </c>
      <c r="D26" s="14">
        <f>SUM(D9:D25)</f>
        <v>1231527</v>
      </c>
      <c r="E26" s="14">
        <f>SUM(E9:E25)</f>
        <v>860205</v>
      </c>
    </row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D18" sqref="D18"/>
    </sheetView>
  </sheetViews>
  <sheetFormatPr defaultColWidth="9.00390625" defaultRowHeight="12.75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16" t="s">
        <v>5</v>
      </c>
      <c r="D1" s="16"/>
      <c r="E1" s="16"/>
    </row>
    <row r="2" spans="4:5" ht="12.75">
      <c r="D2" s="16" t="s">
        <v>6</v>
      </c>
      <c r="E2" s="16"/>
    </row>
    <row r="4" spans="1:6" ht="12.75" customHeight="1">
      <c r="A4" s="21" t="s">
        <v>51</v>
      </c>
      <c r="B4" s="21"/>
      <c r="C4" s="21"/>
      <c r="D4" s="21"/>
      <c r="E4" s="21"/>
      <c r="F4" s="2"/>
    </row>
    <row r="5" spans="1:6" ht="30.75" customHeight="1">
      <c r="A5" s="21"/>
      <c r="B5" s="21"/>
      <c r="C5" s="21"/>
      <c r="D5" s="21"/>
      <c r="E5" s="21"/>
      <c r="F5" s="2"/>
    </row>
    <row r="7" spans="1:5" ht="27.75" customHeight="1">
      <c r="A7" s="22" t="s">
        <v>0</v>
      </c>
      <c r="B7" s="18" t="s">
        <v>1</v>
      </c>
      <c r="C7" s="19" t="s">
        <v>4</v>
      </c>
      <c r="D7" s="18" t="s">
        <v>12</v>
      </c>
      <c r="E7" s="18"/>
    </row>
    <row r="8" spans="1:5" ht="28.5" customHeight="1">
      <c r="A8" s="23"/>
      <c r="B8" s="18"/>
      <c r="C8" s="20"/>
      <c r="D8" s="12" t="s">
        <v>3</v>
      </c>
      <c r="E8" s="12" t="s">
        <v>2</v>
      </c>
    </row>
    <row r="9" spans="1:9" ht="15.75" customHeight="1">
      <c r="A9" s="1">
        <v>1</v>
      </c>
      <c r="B9" s="11" t="s">
        <v>24</v>
      </c>
      <c r="C9" s="1" t="s">
        <v>7</v>
      </c>
      <c r="D9" s="10">
        <v>84297</v>
      </c>
      <c r="E9" s="10">
        <v>35423</v>
      </c>
      <c r="F9" s="7"/>
      <c r="G9" s="4"/>
      <c r="H9" s="4"/>
      <c r="I9" s="4"/>
    </row>
    <row r="10" spans="1:9" ht="15.75" customHeight="1">
      <c r="A10" s="1">
        <v>2</v>
      </c>
      <c r="B10" s="11" t="s">
        <v>25</v>
      </c>
      <c r="C10" s="1" t="s">
        <v>7</v>
      </c>
      <c r="D10" s="10">
        <v>51005</v>
      </c>
      <c r="E10" s="10">
        <v>9473</v>
      </c>
      <c r="F10" s="7"/>
      <c r="G10" s="4"/>
      <c r="H10" s="4"/>
      <c r="I10" s="4"/>
    </row>
    <row r="11" spans="1:9" ht="15.75" customHeight="1">
      <c r="A11" s="1">
        <v>3</v>
      </c>
      <c r="B11" s="11" t="s">
        <v>26</v>
      </c>
      <c r="C11" s="1" t="s">
        <v>7</v>
      </c>
      <c r="D11" s="10">
        <f>57137+26268+12166+5359+7317</f>
        <v>108247</v>
      </c>
      <c r="E11" s="10">
        <f>63220+25464+4070+2502+2066</f>
        <v>97322</v>
      </c>
      <c r="F11" s="7"/>
      <c r="G11" s="4"/>
      <c r="H11" s="4"/>
      <c r="I11" s="4"/>
    </row>
    <row r="12" spans="1:9" ht="15.75" customHeight="1">
      <c r="A12" s="1">
        <v>4</v>
      </c>
      <c r="B12" s="11" t="s">
        <v>27</v>
      </c>
      <c r="C12" s="1" t="s">
        <v>7</v>
      </c>
      <c r="D12" s="10">
        <v>50274</v>
      </c>
      <c r="E12" s="10">
        <v>40375</v>
      </c>
      <c r="F12" s="7"/>
      <c r="G12" s="4"/>
      <c r="H12" s="4"/>
      <c r="I12" s="4"/>
    </row>
    <row r="13" spans="1:9" ht="15.75" customHeight="1">
      <c r="A13" s="1">
        <v>5</v>
      </c>
      <c r="B13" s="11" t="s">
        <v>28</v>
      </c>
      <c r="C13" s="1" t="s">
        <v>7</v>
      </c>
      <c r="D13" s="10">
        <f>72166+4646</f>
        <v>76812</v>
      </c>
      <c r="E13" s="10">
        <f>20687+1967</f>
        <v>22654</v>
      </c>
      <c r="F13" s="7"/>
      <c r="G13" s="4"/>
      <c r="H13" s="4"/>
      <c r="I13" s="4"/>
    </row>
    <row r="14" spans="1:9" ht="15.75" customHeight="1">
      <c r="A14" s="1">
        <v>6</v>
      </c>
      <c r="B14" s="11" t="s">
        <v>29</v>
      </c>
      <c r="C14" s="1" t="s">
        <v>7</v>
      </c>
      <c r="D14" s="10">
        <v>40017</v>
      </c>
      <c r="E14" s="10">
        <v>41500</v>
      </c>
      <c r="F14" s="7"/>
      <c r="G14" s="4"/>
      <c r="H14" s="4"/>
      <c r="I14" s="4"/>
    </row>
    <row r="15" spans="1:9" ht="15.75" customHeight="1">
      <c r="A15" s="1">
        <v>7</v>
      </c>
      <c r="B15" s="11" t="s">
        <v>30</v>
      </c>
      <c r="C15" s="1" t="s">
        <v>7</v>
      </c>
      <c r="D15" s="10">
        <f>77900+923</f>
        <v>78823</v>
      </c>
      <c r="E15" s="10">
        <f>17256+414</f>
        <v>17670</v>
      </c>
      <c r="F15" s="7"/>
      <c r="G15" s="4"/>
      <c r="H15" s="4"/>
      <c r="I15" s="4"/>
    </row>
    <row r="16" spans="1:9" ht="15.75" customHeight="1">
      <c r="A16" s="1">
        <v>8</v>
      </c>
      <c r="B16" s="11" t="s">
        <v>23</v>
      </c>
      <c r="C16" s="1" t="s">
        <v>7</v>
      </c>
      <c r="D16" s="10">
        <v>10479</v>
      </c>
      <c r="E16" s="10">
        <v>8188</v>
      </c>
      <c r="F16" s="7"/>
      <c r="G16" s="4"/>
      <c r="H16" s="4"/>
      <c r="I16" s="4"/>
    </row>
    <row r="17" spans="1:9" ht="15.75" customHeight="1">
      <c r="A17" s="1">
        <v>9</v>
      </c>
      <c r="B17" s="11" t="s">
        <v>31</v>
      </c>
      <c r="C17" s="1" t="s">
        <v>7</v>
      </c>
      <c r="D17" s="10">
        <f>13695+13316+1473</f>
        <v>28484</v>
      </c>
      <c r="E17" s="10">
        <f>1710+6398+798</f>
        <v>8906</v>
      </c>
      <c r="F17" s="7"/>
      <c r="G17" s="4"/>
      <c r="H17" s="4"/>
      <c r="I17" s="4"/>
    </row>
    <row r="18" spans="1:9" ht="15.75" customHeight="1">
      <c r="A18" s="1">
        <v>10</v>
      </c>
      <c r="B18" s="11" t="s">
        <v>32</v>
      </c>
      <c r="C18" s="1" t="s">
        <v>7</v>
      </c>
      <c r="D18" s="10">
        <v>30787</v>
      </c>
      <c r="E18" s="10">
        <v>18295</v>
      </c>
      <c r="F18" s="7"/>
      <c r="G18" s="4"/>
      <c r="H18" s="4"/>
      <c r="I18" s="4"/>
    </row>
    <row r="19" spans="1:9" ht="15.75" customHeight="1">
      <c r="A19" s="1">
        <v>11</v>
      </c>
      <c r="B19" s="11" t="s">
        <v>33</v>
      </c>
      <c r="C19" s="1" t="s">
        <v>7</v>
      </c>
      <c r="D19" s="10">
        <v>50263</v>
      </c>
      <c r="E19" s="10">
        <v>24083</v>
      </c>
      <c r="F19" s="7"/>
      <c r="G19" s="4"/>
      <c r="H19" s="4"/>
      <c r="I19" s="4"/>
    </row>
    <row r="20" spans="1:9" ht="15.75" customHeight="1">
      <c r="A20" s="1">
        <v>12</v>
      </c>
      <c r="B20" s="11" t="s">
        <v>34</v>
      </c>
      <c r="C20" s="1" t="s">
        <v>7</v>
      </c>
      <c r="D20" s="10">
        <v>62161</v>
      </c>
      <c r="E20" s="10">
        <v>32965</v>
      </c>
      <c r="F20" s="7"/>
      <c r="G20" s="4"/>
      <c r="H20" s="4"/>
      <c r="I20" s="4"/>
    </row>
    <row r="21" spans="1:9" ht="15.75" customHeight="1">
      <c r="A21" s="1">
        <v>13</v>
      </c>
      <c r="B21" s="11" t="s">
        <v>35</v>
      </c>
      <c r="C21" s="1" t="s">
        <v>7</v>
      </c>
      <c r="D21" s="10">
        <f>86951+560+5840</f>
        <v>93351</v>
      </c>
      <c r="E21" s="10">
        <f>51565+303+3174</f>
        <v>55042</v>
      </c>
      <c r="F21" s="7"/>
      <c r="G21" s="4"/>
      <c r="H21" s="4"/>
      <c r="I21" s="4"/>
    </row>
    <row r="22" spans="1:9" ht="15.75" customHeight="1">
      <c r="A22" s="1">
        <v>14</v>
      </c>
      <c r="B22" s="11" t="s">
        <v>36</v>
      </c>
      <c r="C22" s="1" t="s">
        <v>7</v>
      </c>
      <c r="D22" s="10">
        <f>26250+6348</f>
        <v>32598</v>
      </c>
      <c r="E22" s="10">
        <f>13401+1017</f>
        <v>14418</v>
      </c>
      <c r="F22" s="7"/>
      <c r="G22" s="4"/>
      <c r="H22" s="4"/>
      <c r="I22" s="4"/>
    </row>
    <row r="23" spans="1:9" ht="15.75" customHeight="1">
      <c r="A23" s="1">
        <v>15</v>
      </c>
      <c r="B23" s="13" t="s">
        <v>37</v>
      </c>
      <c r="C23" s="1" t="s">
        <v>7</v>
      </c>
      <c r="D23" s="10">
        <f>85380+5029+6507</f>
        <v>96916</v>
      </c>
      <c r="E23" s="10">
        <f>41523+6813+4118</f>
        <v>52454</v>
      </c>
      <c r="F23" s="7"/>
      <c r="G23" s="4"/>
      <c r="H23" s="4"/>
      <c r="I23" s="4"/>
    </row>
    <row r="24" spans="1:9" ht="15.75" customHeight="1">
      <c r="A24" s="1">
        <v>16</v>
      </c>
      <c r="B24" s="13" t="s">
        <v>38</v>
      </c>
      <c r="C24" s="1" t="s">
        <v>7</v>
      </c>
      <c r="D24" s="10">
        <f>91043+1836+1690</f>
        <v>94569</v>
      </c>
      <c r="E24" s="10">
        <f>114939+1069+1877</f>
        <v>117885</v>
      </c>
      <c r="F24" s="7"/>
      <c r="G24" s="4"/>
      <c r="H24" s="4"/>
      <c r="I24" s="4"/>
    </row>
    <row r="25" spans="1:9" ht="15.75" customHeight="1">
      <c r="A25" s="1">
        <v>17</v>
      </c>
      <c r="B25" s="13" t="s">
        <v>40</v>
      </c>
      <c r="C25" s="1" t="s">
        <v>7</v>
      </c>
      <c r="D25" s="10">
        <v>32776</v>
      </c>
      <c r="E25" s="10">
        <v>86700.4</v>
      </c>
      <c r="F25" s="7"/>
      <c r="G25" s="4"/>
      <c r="H25" s="4"/>
      <c r="I25" s="4"/>
    </row>
    <row r="26" spans="1:5" ht="13.5" customHeight="1">
      <c r="A26" s="17" t="s">
        <v>8</v>
      </c>
      <c r="B26" s="17"/>
      <c r="C26" s="3" t="s">
        <v>7</v>
      </c>
      <c r="D26" s="14">
        <f>SUM(D9:D25)</f>
        <v>1021859</v>
      </c>
      <c r="E26" s="14">
        <f>SUM(E9:E25)</f>
        <v>683353.4</v>
      </c>
    </row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D26" sqref="D26"/>
    </sheetView>
  </sheetViews>
  <sheetFormatPr defaultColWidth="9.125" defaultRowHeight="12.75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12.375" style="0" customWidth="1"/>
  </cols>
  <sheetData>
    <row r="1" spans="3:5" ht="12.75">
      <c r="C1" s="16" t="s">
        <v>5</v>
      </c>
      <c r="D1" s="16"/>
      <c r="E1" s="16"/>
    </row>
    <row r="2" spans="4:5" ht="12.75">
      <c r="D2" s="16" t="s">
        <v>6</v>
      </c>
      <c r="E2" s="16"/>
    </row>
    <row r="4" spans="1:6" ht="12.75" customHeight="1">
      <c r="A4" s="21" t="s">
        <v>50</v>
      </c>
      <c r="B4" s="21"/>
      <c r="C4" s="21"/>
      <c r="D4" s="21"/>
      <c r="E4" s="21"/>
      <c r="F4" s="2"/>
    </row>
    <row r="5" spans="1:6" ht="30.75" customHeight="1">
      <c r="A5" s="21"/>
      <c r="B5" s="21"/>
      <c r="C5" s="21"/>
      <c r="D5" s="21"/>
      <c r="E5" s="21"/>
      <c r="F5" s="2"/>
    </row>
    <row r="7" spans="1:5" ht="27.75" customHeight="1">
      <c r="A7" s="22" t="s">
        <v>0</v>
      </c>
      <c r="B7" s="24" t="s">
        <v>1</v>
      </c>
      <c r="C7" s="19" t="s">
        <v>4</v>
      </c>
      <c r="D7" s="18" t="s">
        <v>11</v>
      </c>
      <c r="E7" s="18"/>
    </row>
    <row r="8" spans="1:5" ht="28.5" customHeight="1">
      <c r="A8" s="23"/>
      <c r="B8" s="25"/>
      <c r="C8" s="20"/>
      <c r="D8" s="12" t="s">
        <v>3</v>
      </c>
      <c r="E8" s="12" t="s">
        <v>2</v>
      </c>
    </row>
    <row r="9" spans="1:5" ht="15.75" customHeight="1">
      <c r="A9" s="1">
        <v>1</v>
      </c>
      <c r="B9" s="11" t="s">
        <v>24</v>
      </c>
      <c r="C9" s="1" t="s">
        <v>7</v>
      </c>
      <c r="D9" s="10">
        <f>68998+13376</f>
        <v>82374</v>
      </c>
      <c r="E9" s="10">
        <f>31891+3066</f>
        <v>34957</v>
      </c>
    </row>
    <row r="10" spans="1:5" ht="15.75" customHeight="1">
      <c r="A10" s="1">
        <v>2</v>
      </c>
      <c r="B10" s="11" t="s">
        <v>25</v>
      </c>
      <c r="C10" s="1" t="s">
        <v>7</v>
      </c>
      <c r="D10" s="10">
        <v>46689</v>
      </c>
      <c r="E10" s="10">
        <f>9858</f>
        <v>9858</v>
      </c>
    </row>
    <row r="11" spans="1:5" ht="15.75" customHeight="1">
      <c r="A11" s="1">
        <v>3</v>
      </c>
      <c r="B11" s="11" t="s">
        <v>26</v>
      </c>
      <c r="C11" s="1" t="s">
        <v>7</v>
      </c>
      <c r="D11" s="10">
        <f>59456+22503+12129+6059+6828</f>
        <v>106975</v>
      </c>
      <c r="E11" s="10">
        <f>54775+22628+3706+2119+1857</f>
        <v>85085</v>
      </c>
    </row>
    <row r="12" spans="1:5" ht="15.75" customHeight="1">
      <c r="A12" s="1">
        <v>4</v>
      </c>
      <c r="B12" s="11" t="s">
        <v>27</v>
      </c>
      <c r="C12" s="1" t="s">
        <v>7</v>
      </c>
      <c r="D12" s="10">
        <v>47325</v>
      </c>
      <c r="E12" s="10">
        <v>60392</v>
      </c>
    </row>
    <row r="13" spans="1:5" ht="15.75" customHeight="1">
      <c r="A13" s="1">
        <v>5</v>
      </c>
      <c r="B13" s="11" t="s">
        <v>28</v>
      </c>
      <c r="C13" s="1" t="s">
        <v>7</v>
      </c>
      <c r="D13" s="10">
        <f>54588+5387</f>
        <v>59975</v>
      </c>
      <c r="E13" s="10">
        <f>1129+15164</f>
        <v>16293</v>
      </c>
    </row>
    <row r="14" spans="1:5" ht="15.75" customHeight="1">
      <c r="A14" s="1">
        <v>6</v>
      </c>
      <c r="B14" s="11" t="s">
        <v>29</v>
      </c>
      <c r="C14" s="1" t="s">
        <v>7</v>
      </c>
      <c r="D14" s="10">
        <v>38974</v>
      </c>
      <c r="E14" s="10">
        <v>40292</v>
      </c>
    </row>
    <row r="15" spans="1:5" ht="15.75" customHeight="1">
      <c r="A15" s="1">
        <v>7</v>
      </c>
      <c r="B15" s="11" t="s">
        <v>30</v>
      </c>
      <c r="C15" s="1" t="s">
        <v>7</v>
      </c>
      <c r="D15" s="10">
        <f>71760+1405</f>
        <v>73165</v>
      </c>
      <c r="E15" s="10">
        <f>17879+271</f>
        <v>18150</v>
      </c>
    </row>
    <row r="16" spans="1:5" ht="15.75" customHeight="1">
      <c r="A16" s="1">
        <v>8</v>
      </c>
      <c r="B16" s="11" t="s">
        <v>23</v>
      </c>
      <c r="C16" s="1" t="s">
        <v>7</v>
      </c>
      <c r="D16" s="10">
        <v>15756</v>
      </c>
      <c r="E16" s="10">
        <v>6002</v>
      </c>
    </row>
    <row r="17" spans="1:5" ht="15.75" customHeight="1">
      <c r="A17" s="1">
        <v>9</v>
      </c>
      <c r="B17" s="11" t="s">
        <v>31</v>
      </c>
      <c r="C17" s="1" t="s">
        <v>7</v>
      </c>
      <c r="D17" s="10">
        <f>12162+13748+1282</f>
        <v>27192</v>
      </c>
      <c r="E17" s="10">
        <f>1531+4906+405</f>
        <v>6842</v>
      </c>
    </row>
    <row r="18" spans="1:5" ht="15.75" customHeight="1">
      <c r="A18" s="1">
        <v>10</v>
      </c>
      <c r="B18" s="11" t="s">
        <v>32</v>
      </c>
      <c r="C18" s="1" t="s">
        <v>7</v>
      </c>
      <c r="D18" s="10">
        <v>30958</v>
      </c>
      <c r="E18" s="10">
        <v>18142</v>
      </c>
    </row>
    <row r="19" spans="1:5" ht="15.75" customHeight="1">
      <c r="A19" s="1">
        <v>11</v>
      </c>
      <c r="B19" s="11" t="s">
        <v>33</v>
      </c>
      <c r="C19" s="1" t="s">
        <v>7</v>
      </c>
      <c r="D19" s="10">
        <v>52507</v>
      </c>
      <c r="E19" s="10">
        <v>21067</v>
      </c>
    </row>
    <row r="20" spans="1:5" ht="15.75" customHeight="1">
      <c r="A20" s="1">
        <v>12</v>
      </c>
      <c r="B20" s="11" t="s">
        <v>34</v>
      </c>
      <c r="C20" s="1" t="s">
        <v>7</v>
      </c>
      <c r="D20" s="10">
        <v>66126</v>
      </c>
      <c r="E20" s="10">
        <v>33234</v>
      </c>
    </row>
    <row r="21" spans="1:5" ht="15.75" customHeight="1">
      <c r="A21" s="1">
        <v>13</v>
      </c>
      <c r="B21" s="11" t="s">
        <v>35</v>
      </c>
      <c r="C21" s="1" t="s">
        <v>7</v>
      </c>
      <c r="D21" s="10">
        <f>84016+824+6633</f>
        <v>91473</v>
      </c>
      <c r="E21" s="10">
        <f>253+43198+2765</f>
        <v>46216</v>
      </c>
    </row>
    <row r="22" spans="1:5" ht="15.75" customHeight="1">
      <c r="A22" s="1">
        <v>14</v>
      </c>
      <c r="B22" s="11" t="s">
        <v>36</v>
      </c>
      <c r="C22" s="1" t="s">
        <v>7</v>
      </c>
      <c r="D22" s="10">
        <f>22789+5069</f>
        <v>27858</v>
      </c>
      <c r="E22" s="10">
        <f>864+11481</f>
        <v>12345</v>
      </c>
    </row>
    <row r="23" spans="1:5" ht="15.75" customHeight="1">
      <c r="A23" s="1">
        <v>15</v>
      </c>
      <c r="B23" s="11" t="s">
        <v>37</v>
      </c>
      <c r="C23" s="1" t="s">
        <v>7</v>
      </c>
      <c r="D23" s="10">
        <f>4269+83085+6870</f>
        <v>94224</v>
      </c>
      <c r="E23" s="10">
        <f>5878+37279+3437</f>
        <v>46594</v>
      </c>
    </row>
    <row r="24" spans="1:5" ht="15.75" customHeight="1">
      <c r="A24" s="1">
        <v>16</v>
      </c>
      <c r="B24" s="11" t="s">
        <v>38</v>
      </c>
      <c r="C24" s="1" t="s">
        <v>7</v>
      </c>
      <c r="D24" s="10">
        <f>8669+6324+2000+1913+74787</f>
        <v>93693</v>
      </c>
      <c r="E24" s="10">
        <f>730+9026+3481+1354+99805</f>
        <v>114396</v>
      </c>
    </row>
    <row r="25" spans="1:9" ht="15.75" customHeight="1">
      <c r="A25" s="1">
        <v>17</v>
      </c>
      <c r="B25" s="13" t="s">
        <v>40</v>
      </c>
      <c r="C25" s="1" t="s">
        <v>7</v>
      </c>
      <c r="D25" s="10">
        <v>31778</v>
      </c>
      <c r="E25" s="10">
        <f>83642</f>
        <v>83642</v>
      </c>
      <c r="F25" s="7"/>
      <c r="G25" s="4"/>
      <c r="H25" s="4"/>
      <c r="I25" s="4"/>
    </row>
    <row r="26" spans="1:5" ht="13.5" customHeight="1">
      <c r="A26" s="17" t="s">
        <v>8</v>
      </c>
      <c r="B26" s="17"/>
      <c r="C26" s="3" t="s">
        <v>7</v>
      </c>
      <c r="D26" s="14">
        <f>SUM(D9:D25)</f>
        <v>987042</v>
      </c>
      <c r="E26" s="14">
        <f>SUM(E9:E25)</f>
        <v>653507</v>
      </c>
    </row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D26" sqref="D26"/>
    </sheetView>
  </sheetViews>
  <sheetFormatPr defaultColWidth="9.125" defaultRowHeight="12.75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16" t="s">
        <v>5</v>
      </c>
      <c r="D1" s="16"/>
      <c r="E1" s="16"/>
    </row>
    <row r="2" spans="4:5" ht="12.75">
      <c r="D2" s="16" t="s">
        <v>6</v>
      </c>
      <c r="E2" s="16"/>
    </row>
    <row r="4" spans="1:6" ht="12.75" customHeight="1">
      <c r="A4" s="21" t="s">
        <v>49</v>
      </c>
      <c r="B4" s="21"/>
      <c r="C4" s="21"/>
      <c r="D4" s="21"/>
      <c r="E4" s="21"/>
      <c r="F4" s="2"/>
    </row>
    <row r="5" spans="1:6" ht="30.75" customHeight="1">
      <c r="A5" s="21"/>
      <c r="B5" s="21"/>
      <c r="C5" s="21"/>
      <c r="D5" s="21"/>
      <c r="E5" s="21"/>
      <c r="F5" s="2"/>
    </row>
    <row r="7" spans="1:5" ht="27.75" customHeight="1">
      <c r="A7" s="22" t="s">
        <v>0</v>
      </c>
      <c r="B7" s="24" t="s">
        <v>1</v>
      </c>
      <c r="C7" s="19" t="s">
        <v>4</v>
      </c>
      <c r="D7" s="18" t="s">
        <v>13</v>
      </c>
      <c r="E7" s="18"/>
    </row>
    <row r="8" spans="1:5" ht="28.5" customHeight="1">
      <c r="A8" s="23"/>
      <c r="B8" s="25"/>
      <c r="C8" s="20"/>
      <c r="D8" s="12" t="s">
        <v>3</v>
      </c>
      <c r="E8" s="12" t="s">
        <v>2</v>
      </c>
    </row>
    <row r="9" spans="1:5" ht="15.75" customHeight="1">
      <c r="A9" s="1">
        <v>1</v>
      </c>
      <c r="B9" s="11" t="s">
        <v>24</v>
      </c>
      <c r="C9" s="1" t="s">
        <v>7</v>
      </c>
      <c r="D9" s="10">
        <f>9470+52865</f>
        <v>62335</v>
      </c>
      <c r="E9" s="10">
        <f>2275+29435</f>
        <v>31710</v>
      </c>
    </row>
    <row r="10" spans="1:5" ht="15.75" customHeight="1">
      <c r="A10" s="1">
        <v>2</v>
      </c>
      <c r="B10" s="11" t="s">
        <v>25</v>
      </c>
      <c r="C10" s="1" t="s">
        <v>7</v>
      </c>
      <c r="D10" s="10">
        <v>40386</v>
      </c>
      <c r="E10" s="10">
        <v>7148</v>
      </c>
    </row>
    <row r="11" spans="1:5" ht="15.75" customHeight="1">
      <c r="A11" s="1">
        <v>3</v>
      </c>
      <c r="B11" s="11" t="s">
        <v>26</v>
      </c>
      <c r="C11" s="1" t="s">
        <v>7</v>
      </c>
      <c r="D11" s="10">
        <f>52243+31178+10731+5187+5926</f>
        <v>105265</v>
      </c>
      <c r="E11" s="10">
        <f>50481+18959+3436+1405+1486</f>
        <v>75767</v>
      </c>
    </row>
    <row r="12" spans="1:5" ht="15.75" customHeight="1">
      <c r="A12" s="1">
        <v>4</v>
      </c>
      <c r="B12" s="11" t="s">
        <v>27</v>
      </c>
      <c r="C12" s="1" t="s">
        <v>7</v>
      </c>
      <c r="D12" s="10">
        <v>50307</v>
      </c>
      <c r="E12" s="10">
        <v>42664</v>
      </c>
    </row>
    <row r="13" spans="1:5" ht="15.75" customHeight="1">
      <c r="A13" s="1">
        <v>5</v>
      </c>
      <c r="B13" s="11" t="s">
        <v>28</v>
      </c>
      <c r="C13" s="1" t="s">
        <v>7</v>
      </c>
      <c r="D13" s="10">
        <f>5011+53219</f>
        <v>58230</v>
      </c>
      <c r="E13" s="10">
        <f>736+13915</f>
        <v>14651</v>
      </c>
    </row>
    <row r="14" spans="1:5" ht="15.75" customHeight="1">
      <c r="A14" s="1">
        <v>6</v>
      </c>
      <c r="B14" s="11" t="s">
        <v>29</v>
      </c>
      <c r="C14" s="1" t="s">
        <v>7</v>
      </c>
      <c r="D14" s="10">
        <v>30567</v>
      </c>
      <c r="E14" s="10">
        <v>31378</v>
      </c>
    </row>
    <row r="15" spans="1:5" ht="15.75" customHeight="1">
      <c r="A15" s="1">
        <v>7</v>
      </c>
      <c r="B15" s="11" t="s">
        <v>30</v>
      </c>
      <c r="C15" s="1" t="s">
        <v>7</v>
      </c>
      <c r="D15" s="10">
        <f>58885+1569</f>
        <v>60454</v>
      </c>
      <c r="E15" s="10">
        <f>15525+37</f>
        <v>15562</v>
      </c>
    </row>
    <row r="16" spans="1:5" ht="15.75" customHeight="1">
      <c r="A16" s="1">
        <v>8</v>
      </c>
      <c r="B16" s="11" t="s">
        <v>23</v>
      </c>
      <c r="C16" s="1" t="s">
        <v>7</v>
      </c>
      <c r="D16" s="10">
        <v>8546</v>
      </c>
      <c r="E16" s="10">
        <v>6724</v>
      </c>
    </row>
    <row r="17" spans="1:5" ht="15.75" customHeight="1">
      <c r="A17" s="1">
        <v>9</v>
      </c>
      <c r="B17" s="11" t="s">
        <v>31</v>
      </c>
      <c r="C17" s="1" t="s">
        <v>7</v>
      </c>
      <c r="D17" s="10">
        <f>9934+11095+1042</f>
        <v>22071</v>
      </c>
      <c r="E17" s="10">
        <f>880+2767+186</f>
        <v>3833</v>
      </c>
    </row>
    <row r="18" spans="1:5" ht="15.75" customHeight="1">
      <c r="A18" s="1">
        <v>10</v>
      </c>
      <c r="B18" s="11" t="s">
        <v>32</v>
      </c>
      <c r="C18" s="1" t="s">
        <v>7</v>
      </c>
      <c r="D18" s="10">
        <v>28809</v>
      </c>
      <c r="E18" s="10">
        <v>16028</v>
      </c>
    </row>
    <row r="19" spans="1:5" ht="15.75" customHeight="1">
      <c r="A19" s="1">
        <v>11</v>
      </c>
      <c r="B19" s="11" t="s">
        <v>33</v>
      </c>
      <c r="C19" s="1" t="s">
        <v>7</v>
      </c>
      <c r="D19" s="10">
        <v>50914</v>
      </c>
      <c r="E19" s="10">
        <v>17504</v>
      </c>
    </row>
    <row r="20" spans="1:5" ht="15.75" customHeight="1">
      <c r="A20" s="1">
        <v>12</v>
      </c>
      <c r="B20" s="11" t="s">
        <v>34</v>
      </c>
      <c r="C20" s="1" t="s">
        <v>7</v>
      </c>
      <c r="D20" s="10">
        <v>54238</v>
      </c>
      <c r="E20" s="10">
        <v>20639</v>
      </c>
    </row>
    <row r="21" spans="1:5" ht="15.75" customHeight="1">
      <c r="A21" s="1">
        <v>13</v>
      </c>
      <c r="B21" s="11" t="s">
        <v>35</v>
      </c>
      <c r="C21" s="1" t="s">
        <v>7</v>
      </c>
      <c r="D21" s="10">
        <f>822+78010+5941</f>
        <v>84773</v>
      </c>
      <c r="E21" s="10">
        <f>27+35274+1586</f>
        <v>36887</v>
      </c>
    </row>
    <row r="22" spans="1:5" ht="15.75" customHeight="1">
      <c r="A22" s="1">
        <v>14</v>
      </c>
      <c r="B22" s="11" t="s">
        <v>36</v>
      </c>
      <c r="C22" s="1" t="s">
        <v>7</v>
      </c>
      <c r="D22" s="10">
        <f>4138+21949</f>
        <v>26087</v>
      </c>
      <c r="E22" s="10">
        <f>394+8871</f>
        <v>9265</v>
      </c>
    </row>
    <row r="23" spans="1:5" ht="15.75" customHeight="1">
      <c r="A23" s="1">
        <v>15</v>
      </c>
      <c r="B23" s="11" t="s">
        <v>37</v>
      </c>
      <c r="C23" s="1" t="s">
        <v>7</v>
      </c>
      <c r="D23" s="10">
        <f>3753+76504+6522</f>
        <v>86779</v>
      </c>
      <c r="E23" s="10">
        <f>3323+28694+3372</f>
        <v>35389</v>
      </c>
    </row>
    <row r="24" spans="1:5" ht="15.75" customHeight="1">
      <c r="A24" s="1">
        <v>16</v>
      </c>
      <c r="B24" s="11" t="s">
        <v>38</v>
      </c>
      <c r="C24" s="1" t="s">
        <v>7</v>
      </c>
      <c r="D24" s="10">
        <f>1807+8553+4388+1515+77647</f>
        <v>93910</v>
      </c>
      <c r="E24" s="10">
        <f>449+8440+1727+1424+71059</f>
        <v>83099</v>
      </c>
    </row>
    <row r="25" spans="1:5" ht="15.75" customHeight="1">
      <c r="A25" s="1">
        <v>17</v>
      </c>
      <c r="B25" s="15" t="s">
        <v>40</v>
      </c>
      <c r="C25" s="1" t="s">
        <v>7</v>
      </c>
      <c r="D25" s="10">
        <v>25245</v>
      </c>
      <c r="E25" s="10">
        <v>57461</v>
      </c>
    </row>
    <row r="26" spans="1:5" ht="13.5" customHeight="1">
      <c r="A26" s="26" t="s">
        <v>8</v>
      </c>
      <c r="B26" s="27"/>
      <c r="C26" s="3" t="s">
        <v>7</v>
      </c>
      <c r="D26" s="14">
        <f>SUM(D9:D25)</f>
        <v>888916</v>
      </c>
      <c r="E26" s="14">
        <f>SUM(E9:E25)</f>
        <v>505709</v>
      </c>
    </row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E11" sqref="E11"/>
    </sheetView>
  </sheetViews>
  <sheetFormatPr defaultColWidth="9.125" defaultRowHeight="12.75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16" t="s">
        <v>5</v>
      </c>
      <c r="D1" s="16"/>
      <c r="E1" s="16"/>
    </row>
    <row r="2" spans="4:5" ht="12.75">
      <c r="D2" s="16" t="s">
        <v>6</v>
      </c>
      <c r="E2" s="16"/>
    </row>
    <row r="4" spans="1:6" ht="12.75" customHeight="1">
      <c r="A4" s="21" t="s">
        <v>48</v>
      </c>
      <c r="B4" s="21"/>
      <c r="C4" s="21"/>
      <c r="D4" s="21"/>
      <c r="E4" s="21"/>
      <c r="F4" s="2"/>
    </row>
    <row r="5" spans="1:6" ht="30.75" customHeight="1">
      <c r="A5" s="21"/>
      <c r="B5" s="21"/>
      <c r="C5" s="21"/>
      <c r="D5" s="21"/>
      <c r="E5" s="21"/>
      <c r="F5" s="2"/>
    </row>
    <row r="7" spans="1:5" ht="27.75" customHeight="1">
      <c r="A7" s="22" t="s">
        <v>0</v>
      </c>
      <c r="B7" s="24" t="s">
        <v>1</v>
      </c>
      <c r="C7" s="19" t="s">
        <v>4</v>
      </c>
      <c r="D7" s="18" t="s">
        <v>14</v>
      </c>
      <c r="E7" s="18"/>
    </row>
    <row r="8" spans="1:5" ht="28.5" customHeight="1">
      <c r="A8" s="23"/>
      <c r="B8" s="25"/>
      <c r="C8" s="20"/>
      <c r="D8" s="12" t="s">
        <v>3</v>
      </c>
      <c r="E8" s="12" t="s">
        <v>2</v>
      </c>
    </row>
    <row r="9" spans="1:5" ht="15.75" customHeight="1">
      <c r="A9" s="1">
        <v>1</v>
      </c>
      <c r="B9" s="11" t="s">
        <v>24</v>
      </c>
      <c r="C9" s="1" t="s">
        <v>7</v>
      </c>
      <c r="D9" s="10">
        <f>8555+46825</f>
        <v>55380</v>
      </c>
      <c r="E9" s="10">
        <f>1775+21542</f>
        <v>23317</v>
      </c>
    </row>
    <row r="10" spans="1:5" ht="15.75" customHeight="1">
      <c r="A10" s="1">
        <v>2</v>
      </c>
      <c r="B10" s="11" t="s">
        <v>25</v>
      </c>
      <c r="C10" s="1" t="s">
        <v>7</v>
      </c>
      <c r="D10" s="10">
        <v>40661</v>
      </c>
      <c r="E10" s="10">
        <v>7960</v>
      </c>
    </row>
    <row r="11" spans="1:5" ht="15.75" customHeight="1">
      <c r="A11" s="1">
        <v>3</v>
      </c>
      <c r="B11" s="11" t="s">
        <v>26</v>
      </c>
      <c r="C11" s="1" t="s">
        <v>7</v>
      </c>
      <c r="D11" s="10">
        <f>50566+25976+9391+8319+8076</f>
        <v>102328</v>
      </c>
      <c r="E11" s="10">
        <f>50465+18770+1591+872+773</f>
        <v>72471</v>
      </c>
    </row>
    <row r="12" spans="1:5" ht="15.75" customHeight="1">
      <c r="A12" s="1">
        <v>4</v>
      </c>
      <c r="B12" s="11" t="s">
        <v>27</v>
      </c>
      <c r="C12" s="1" t="s">
        <v>7</v>
      </c>
      <c r="D12" s="10">
        <v>47068</v>
      </c>
      <c r="E12" s="10">
        <v>45849</v>
      </c>
    </row>
    <row r="13" spans="1:5" ht="15.75" customHeight="1">
      <c r="A13" s="1">
        <v>5</v>
      </c>
      <c r="B13" s="11" t="s">
        <v>28</v>
      </c>
      <c r="C13" s="1" t="s">
        <v>7</v>
      </c>
      <c r="D13" s="10">
        <f>5420+53083</f>
        <v>58503</v>
      </c>
      <c r="E13" s="10">
        <f>727+15660</f>
        <v>16387</v>
      </c>
    </row>
    <row r="14" spans="1:5" ht="15.75" customHeight="1">
      <c r="A14" s="1">
        <v>6</v>
      </c>
      <c r="B14" s="11" t="s">
        <v>29</v>
      </c>
      <c r="C14" s="1" t="s">
        <v>7</v>
      </c>
      <c r="D14" s="10">
        <v>30919</v>
      </c>
      <c r="E14" s="10">
        <v>29787</v>
      </c>
    </row>
    <row r="15" spans="1:5" ht="15.75" customHeight="1">
      <c r="A15" s="1">
        <v>7</v>
      </c>
      <c r="B15" s="11" t="s">
        <v>30</v>
      </c>
      <c r="C15" s="1" t="s">
        <v>7</v>
      </c>
      <c r="D15" s="10">
        <f>60085+2106</f>
        <v>62191</v>
      </c>
      <c r="E15" s="10">
        <f>16511+33</f>
        <v>16544</v>
      </c>
    </row>
    <row r="16" spans="1:5" ht="15.75" customHeight="1">
      <c r="A16" s="1">
        <v>8</v>
      </c>
      <c r="B16" s="11" t="s">
        <v>23</v>
      </c>
      <c r="C16" s="1" t="s">
        <v>7</v>
      </c>
      <c r="D16" s="10">
        <v>17457</v>
      </c>
      <c r="E16" s="10">
        <v>5543</v>
      </c>
    </row>
    <row r="17" spans="1:5" ht="15.75" customHeight="1">
      <c r="A17" s="1">
        <v>9</v>
      </c>
      <c r="B17" s="11" t="s">
        <v>31</v>
      </c>
      <c r="C17" s="1" t="s">
        <v>7</v>
      </c>
      <c r="D17" s="10">
        <f>9036+13921+1788</f>
        <v>24745</v>
      </c>
      <c r="E17" s="10">
        <f>693+2684+108</f>
        <v>3485</v>
      </c>
    </row>
    <row r="18" spans="1:5" ht="15.75" customHeight="1">
      <c r="A18" s="1">
        <v>10</v>
      </c>
      <c r="B18" s="11" t="s">
        <v>32</v>
      </c>
      <c r="C18" s="1" t="s">
        <v>7</v>
      </c>
      <c r="D18" s="10">
        <v>27635</v>
      </c>
      <c r="E18" s="10">
        <v>13873</v>
      </c>
    </row>
    <row r="19" spans="1:5" ht="15.75" customHeight="1">
      <c r="A19" s="1">
        <v>11</v>
      </c>
      <c r="B19" s="11" t="s">
        <v>33</v>
      </c>
      <c r="C19" s="1" t="s">
        <v>7</v>
      </c>
      <c r="D19" s="10">
        <v>45204</v>
      </c>
      <c r="E19" s="10">
        <v>15455</v>
      </c>
    </row>
    <row r="20" spans="1:5" ht="15.75" customHeight="1">
      <c r="A20" s="1">
        <v>12</v>
      </c>
      <c r="B20" s="11" t="s">
        <v>34</v>
      </c>
      <c r="C20" s="1" t="s">
        <v>7</v>
      </c>
      <c r="D20" s="10">
        <v>47556</v>
      </c>
      <c r="E20" s="10">
        <v>23617</v>
      </c>
    </row>
    <row r="21" spans="1:5" ht="15.75" customHeight="1">
      <c r="A21" s="1">
        <v>13</v>
      </c>
      <c r="B21" s="11" t="s">
        <v>35</v>
      </c>
      <c r="C21" s="1" t="s">
        <v>7</v>
      </c>
      <c r="D21" s="10">
        <f>916+78917+5984</f>
        <v>85817</v>
      </c>
      <c r="E21" s="10">
        <f>15+30541+1361</f>
        <v>31917</v>
      </c>
    </row>
    <row r="22" spans="1:5" ht="15.75" customHeight="1">
      <c r="A22" s="1">
        <v>14</v>
      </c>
      <c r="B22" s="11" t="s">
        <v>36</v>
      </c>
      <c r="C22" s="1" t="s">
        <v>7</v>
      </c>
      <c r="D22" s="10">
        <f>4588+21668</f>
        <v>26256</v>
      </c>
      <c r="E22" s="10">
        <f>443+8702</f>
        <v>9145</v>
      </c>
    </row>
    <row r="23" spans="1:5" ht="15.75" customHeight="1">
      <c r="A23" s="1">
        <v>15</v>
      </c>
      <c r="B23" s="11" t="s">
        <v>37</v>
      </c>
      <c r="C23" s="1" t="s">
        <v>7</v>
      </c>
      <c r="D23" s="10">
        <f>4920+74177+4938</f>
        <v>84035</v>
      </c>
      <c r="E23" s="10">
        <f>2701+26680+2132</f>
        <v>31513</v>
      </c>
    </row>
    <row r="24" spans="1:5" ht="15.75" customHeight="1">
      <c r="A24" s="1">
        <v>16</v>
      </c>
      <c r="B24" s="11" t="s">
        <v>38</v>
      </c>
      <c r="C24" s="1" t="s">
        <v>7</v>
      </c>
      <c r="D24" s="10">
        <f>2071+8708+5399+1680+57462</f>
        <v>75320</v>
      </c>
      <c r="E24" s="10">
        <f>177+5803+1361+1074+65304</f>
        <v>73719</v>
      </c>
    </row>
    <row r="25" spans="1:5" ht="15.75" customHeight="1">
      <c r="A25" s="1">
        <v>17</v>
      </c>
      <c r="B25" s="15" t="s">
        <v>40</v>
      </c>
      <c r="C25" s="1" t="s">
        <v>7</v>
      </c>
      <c r="D25" s="10">
        <v>25305</v>
      </c>
      <c r="E25" s="10">
        <v>41492</v>
      </c>
    </row>
    <row r="26" spans="1:5" ht="13.5" customHeight="1">
      <c r="A26" s="26" t="s">
        <v>8</v>
      </c>
      <c r="B26" s="27"/>
      <c r="C26" s="3" t="s">
        <v>7</v>
      </c>
      <c r="D26" s="14">
        <f>SUM(D9:D25)</f>
        <v>856380</v>
      </c>
      <c r="E26" s="14">
        <f>SUM(E9:E25)</f>
        <v>462074</v>
      </c>
    </row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7">
      <selection activeCell="D25" sqref="D25"/>
    </sheetView>
  </sheetViews>
  <sheetFormatPr defaultColWidth="9.125" defaultRowHeight="12.75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10.00390625" style="0" customWidth="1"/>
  </cols>
  <sheetData>
    <row r="1" spans="3:5" ht="12.75">
      <c r="C1" s="16" t="s">
        <v>5</v>
      </c>
      <c r="D1" s="16"/>
      <c r="E1" s="16"/>
    </row>
    <row r="2" spans="4:5" ht="12.75">
      <c r="D2" s="16" t="s">
        <v>6</v>
      </c>
      <c r="E2" s="16"/>
    </row>
    <row r="4" spans="1:6" ht="12.75" customHeight="1">
      <c r="A4" s="21" t="s">
        <v>47</v>
      </c>
      <c r="B4" s="21"/>
      <c r="C4" s="21"/>
      <c r="D4" s="21"/>
      <c r="E4" s="21"/>
      <c r="F4" s="2"/>
    </row>
    <row r="5" spans="1:6" ht="30.75" customHeight="1">
      <c r="A5" s="21"/>
      <c r="B5" s="21"/>
      <c r="C5" s="21"/>
      <c r="D5" s="21"/>
      <c r="E5" s="21"/>
      <c r="F5" s="2"/>
    </row>
    <row r="7" spans="1:5" ht="27.75" customHeight="1">
      <c r="A7" s="22" t="s">
        <v>0</v>
      </c>
      <c r="B7" s="24" t="s">
        <v>1</v>
      </c>
      <c r="C7" s="19" t="s">
        <v>4</v>
      </c>
      <c r="D7" s="18" t="s">
        <v>15</v>
      </c>
      <c r="E7" s="18"/>
    </row>
    <row r="8" spans="1:5" ht="28.5" customHeight="1">
      <c r="A8" s="23"/>
      <c r="B8" s="25"/>
      <c r="C8" s="20"/>
      <c r="D8" s="12" t="s">
        <v>3</v>
      </c>
      <c r="E8" s="12" t="s">
        <v>2</v>
      </c>
    </row>
    <row r="9" spans="1:7" ht="15.75" customHeight="1">
      <c r="A9" s="1">
        <v>1</v>
      </c>
      <c r="B9" s="11" t="s">
        <v>24</v>
      </c>
      <c r="C9" s="1" t="s">
        <v>7</v>
      </c>
      <c r="D9" s="10">
        <f>8000+47684</f>
        <v>55684</v>
      </c>
      <c r="E9" s="10">
        <f>2395+27389</f>
        <v>29784</v>
      </c>
      <c r="F9" s="7"/>
      <c r="G9" s="4"/>
    </row>
    <row r="10" spans="1:7" ht="15.75" customHeight="1">
      <c r="A10" s="1">
        <v>2</v>
      </c>
      <c r="B10" s="11" t="s">
        <v>25</v>
      </c>
      <c r="C10" s="1" t="s">
        <v>7</v>
      </c>
      <c r="D10" s="10">
        <v>34473</v>
      </c>
      <c r="E10" s="10">
        <v>7005</v>
      </c>
      <c r="F10" s="7"/>
      <c r="G10" s="4"/>
    </row>
    <row r="11" spans="1:7" ht="15.75" customHeight="1">
      <c r="A11" s="1">
        <v>3</v>
      </c>
      <c r="B11" s="11" t="s">
        <v>26</v>
      </c>
      <c r="C11" s="1" t="s">
        <v>7</v>
      </c>
      <c r="D11" s="10">
        <f>43235+23400+8522+5650+7424</f>
        <v>88231</v>
      </c>
      <c r="E11" s="10">
        <f>28454+14091+1149+551+364-380</f>
        <v>44229</v>
      </c>
      <c r="G11" s="4"/>
    </row>
    <row r="12" spans="1:7" ht="15.75" customHeight="1">
      <c r="A12" s="1">
        <v>4</v>
      </c>
      <c r="B12" s="11" t="s">
        <v>27</v>
      </c>
      <c r="C12" s="1" t="s">
        <v>7</v>
      </c>
      <c r="D12" s="10">
        <f>53903+172</f>
        <v>54075</v>
      </c>
      <c r="E12" s="10">
        <v>46201</v>
      </c>
      <c r="G12" s="4"/>
    </row>
    <row r="13" spans="1:7" ht="15.75" customHeight="1">
      <c r="A13" s="1">
        <v>5</v>
      </c>
      <c r="B13" s="11" t="s">
        <v>28</v>
      </c>
      <c r="C13" s="1" t="s">
        <v>7</v>
      </c>
      <c r="D13" s="10">
        <f>5161+46207</f>
        <v>51368</v>
      </c>
      <c r="E13" s="10">
        <f>807+7026</f>
        <v>7833</v>
      </c>
      <c r="G13" s="4"/>
    </row>
    <row r="14" spans="1:7" ht="15.75" customHeight="1">
      <c r="A14" s="1">
        <v>6</v>
      </c>
      <c r="B14" s="11" t="s">
        <v>29</v>
      </c>
      <c r="C14" s="1" t="s">
        <v>7</v>
      </c>
      <c r="D14" s="10">
        <v>24682</v>
      </c>
      <c r="E14" s="10">
        <v>21356</v>
      </c>
      <c r="G14" s="4"/>
    </row>
    <row r="15" spans="1:7" ht="15.75" customHeight="1">
      <c r="A15" s="1">
        <v>7</v>
      </c>
      <c r="B15" s="11" t="s">
        <v>30</v>
      </c>
      <c r="C15" s="1" t="s">
        <v>7</v>
      </c>
      <c r="D15" s="10">
        <f>44413+2324</f>
        <v>46737</v>
      </c>
      <c r="E15" s="10">
        <f>9285+37</f>
        <v>9322</v>
      </c>
      <c r="G15" s="4"/>
    </row>
    <row r="16" spans="1:7" ht="15.75" customHeight="1">
      <c r="A16" s="1">
        <v>8</v>
      </c>
      <c r="B16" s="11" t="s">
        <v>23</v>
      </c>
      <c r="C16" s="1" t="s">
        <v>7</v>
      </c>
      <c r="D16" s="10">
        <v>6175</v>
      </c>
      <c r="E16" s="10">
        <v>4175</v>
      </c>
      <c r="G16" s="4"/>
    </row>
    <row r="17" spans="1:7" ht="15.75" customHeight="1">
      <c r="A17" s="1">
        <v>9</v>
      </c>
      <c r="B17" s="11" t="s">
        <v>31</v>
      </c>
      <c r="C17" s="1" t="s">
        <v>7</v>
      </c>
      <c r="D17" s="10">
        <f>7287+13586+1594</f>
        <v>22467</v>
      </c>
      <c r="E17" s="10">
        <f>994+1534+109</f>
        <v>2637</v>
      </c>
      <c r="G17" s="4"/>
    </row>
    <row r="18" spans="1:7" ht="15.75" customHeight="1">
      <c r="A18" s="1">
        <v>10</v>
      </c>
      <c r="B18" s="11" t="s">
        <v>32</v>
      </c>
      <c r="C18" s="1" t="s">
        <v>7</v>
      </c>
      <c r="D18" s="10">
        <v>24068</v>
      </c>
      <c r="E18" s="10">
        <v>10693</v>
      </c>
      <c r="G18" s="4"/>
    </row>
    <row r="19" spans="1:7" ht="15.75" customHeight="1">
      <c r="A19" s="1">
        <v>11</v>
      </c>
      <c r="B19" s="11" t="s">
        <v>33</v>
      </c>
      <c r="C19" s="1" t="s">
        <v>7</v>
      </c>
      <c r="D19" s="10">
        <v>40532</v>
      </c>
      <c r="E19" s="10">
        <v>11776</v>
      </c>
      <c r="G19" s="4"/>
    </row>
    <row r="20" spans="1:7" ht="15.75" customHeight="1">
      <c r="A20" s="1">
        <v>12</v>
      </c>
      <c r="B20" s="11" t="s">
        <v>34</v>
      </c>
      <c r="C20" s="1" t="s">
        <v>7</v>
      </c>
      <c r="D20" s="10">
        <v>43559</v>
      </c>
      <c r="E20" s="10">
        <v>17684</v>
      </c>
      <c r="G20" s="4"/>
    </row>
    <row r="21" spans="1:7" ht="15.75" customHeight="1">
      <c r="A21" s="1">
        <v>13</v>
      </c>
      <c r="B21" s="11" t="s">
        <v>35</v>
      </c>
      <c r="C21" s="1" t="s">
        <v>7</v>
      </c>
      <c r="D21" s="10">
        <f>811+80489+6425</f>
        <v>87725</v>
      </c>
      <c r="E21" s="10">
        <f>13+22714+1191</f>
        <v>23918</v>
      </c>
      <c r="G21" s="4"/>
    </row>
    <row r="22" spans="1:7" ht="15.75" customHeight="1">
      <c r="A22" s="1">
        <v>14</v>
      </c>
      <c r="B22" s="11" t="s">
        <v>36</v>
      </c>
      <c r="C22" s="1" t="s">
        <v>7</v>
      </c>
      <c r="D22" s="10">
        <f>19493+3649</f>
        <v>23142</v>
      </c>
      <c r="E22" s="10">
        <f>443+5475</f>
        <v>5918</v>
      </c>
      <c r="G22" s="4"/>
    </row>
    <row r="23" spans="1:7" ht="15.75" customHeight="1">
      <c r="A23" s="1">
        <v>15</v>
      </c>
      <c r="B23" s="11" t="s">
        <v>37</v>
      </c>
      <c r="C23" s="1" t="s">
        <v>7</v>
      </c>
      <c r="D23" s="10">
        <f>4566+64173+4921</f>
        <v>73660</v>
      </c>
      <c r="E23" s="10">
        <f>1770+16294+1664</f>
        <v>19728</v>
      </c>
      <c r="G23" s="4"/>
    </row>
    <row r="24" spans="1:7" ht="15.75" customHeight="1">
      <c r="A24" s="1">
        <v>16</v>
      </c>
      <c r="B24" s="11" t="s">
        <v>38</v>
      </c>
      <c r="C24" s="1" t="s">
        <v>7</v>
      </c>
      <c r="D24" s="10">
        <f>8124+7345+1873+1886+49972</f>
        <v>69200</v>
      </c>
      <c r="E24" s="10">
        <f>186+4846+1511+780+43075</f>
        <v>50398</v>
      </c>
      <c r="G24" s="4"/>
    </row>
    <row r="25" spans="1:7" ht="15.75" customHeight="1">
      <c r="A25" s="1">
        <v>17</v>
      </c>
      <c r="B25" s="15" t="s">
        <v>40</v>
      </c>
      <c r="C25" s="1" t="s">
        <v>7</v>
      </c>
      <c r="D25" s="10">
        <f>22868-1</f>
        <v>22867</v>
      </c>
      <c r="E25" s="10">
        <v>32659</v>
      </c>
      <c r="G25" s="4"/>
    </row>
    <row r="26" spans="1:5" ht="13.5" customHeight="1">
      <c r="A26" s="26" t="s">
        <v>8</v>
      </c>
      <c r="B26" s="27"/>
      <c r="C26" s="3" t="s">
        <v>7</v>
      </c>
      <c r="D26" s="14">
        <f>SUM(D9:D25)</f>
        <v>768645</v>
      </c>
      <c r="E26" s="14">
        <f>SUM(E9:E25)</f>
        <v>345316</v>
      </c>
    </row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26" sqref="D26"/>
    </sheetView>
  </sheetViews>
  <sheetFormatPr defaultColWidth="9.125" defaultRowHeight="12.75"/>
  <cols>
    <col min="1" max="1" width="6.75390625" style="0" customWidth="1"/>
    <col min="2" max="2" width="22.375" style="0" customWidth="1"/>
    <col min="3" max="3" width="10.625" style="0" customWidth="1"/>
    <col min="4" max="5" width="20.75390625" style="0" customWidth="1"/>
    <col min="6" max="6" width="9.125" style="0" customWidth="1"/>
  </cols>
  <sheetData>
    <row r="1" spans="3:5" ht="12.75">
      <c r="C1" s="16" t="s">
        <v>5</v>
      </c>
      <c r="D1" s="16"/>
      <c r="E1" s="16"/>
    </row>
    <row r="2" spans="4:5" ht="12.75">
      <c r="D2" s="16" t="s">
        <v>6</v>
      </c>
      <c r="E2" s="16"/>
    </row>
    <row r="4" spans="1:6" ht="12.75" customHeight="1">
      <c r="A4" s="21" t="s">
        <v>46</v>
      </c>
      <c r="B4" s="21"/>
      <c r="C4" s="21"/>
      <c r="D4" s="21"/>
      <c r="E4" s="21"/>
      <c r="F4" s="2"/>
    </row>
    <row r="5" spans="1:6" ht="30.75" customHeight="1">
      <c r="A5" s="21"/>
      <c r="B5" s="21"/>
      <c r="C5" s="21"/>
      <c r="D5" s="21"/>
      <c r="E5" s="21"/>
      <c r="F5" s="2"/>
    </row>
    <row r="7" spans="1:5" ht="27.75" customHeight="1">
      <c r="A7" s="22" t="s">
        <v>0</v>
      </c>
      <c r="B7" s="24" t="s">
        <v>1</v>
      </c>
      <c r="C7" s="19" t="s">
        <v>4</v>
      </c>
      <c r="D7" s="18" t="s">
        <v>16</v>
      </c>
      <c r="E7" s="18"/>
    </row>
    <row r="8" spans="1:6" ht="28.5" customHeight="1">
      <c r="A8" s="23"/>
      <c r="B8" s="25"/>
      <c r="C8" s="20"/>
      <c r="D8" s="12" t="s">
        <v>3</v>
      </c>
      <c r="E8" s="12" t="s">
        <v>2</v>
      </c>
      <c r="F8" s="5"/>
    </row>
    <row r="9" spans="1:6" ht="15.75" customHeight="1">
      <c r="A9" s="1">
        <v>1</v>
      </c>
      <c r="B9" s="11" t="s">
        <v>24</v>
      </c>
      <c r="C9" s="1" t="s">
        <v>7</v>
      </c>
      <c r="D9" s="10">
        <f>9010+47996</f>
        <v>57006</v>
      </c>
      <c r="E9" s="10">
        <f>2035+32691</f>
        <v>34726</v>
      </c>
      <c r="F9" s="5"/>
    </row>
    <row r="10" spans="1:7" ht="15.75" customHeight="1">
      <c r="A10" s="1">
        <v>2</v>
      </c>
      <c r="B10" s="11" t="s">
        <v>25</v>
      </c>
      <c r="C10" s="1" t="s">
        <v>7</v>
      </c>
      <c r="D10" s="10">
        <v>35591</v>
      </c>
      <c r="E10" s="10">
        <v>4835</v>
      </c>
      <c r="F10" s="6"/>
      <c r="G10" s="4"/>
    </row>
    <row r="11" spans="1:7" ht="15.75" customHeight="1">
      <c r="A11" s="1">
        <v>3</v>
      </c>
      <c r="B11" s="11" t="s">
        <v>26</v>
      </c>
      <c r="C11" s="1" t="s">
        <v>7</v>
      </c>
      <c r="D11" s="10">
        <f>42520+24438+8638+6604+8627</f>
        <v>90827</v>
      </c>
      <c r="E11" s="10">
        <f>30822+13135+926+542+263</f>
        <v>45688</v>
      </c>
      <c r="F11" s="6"/>
      <c r="G11" s="4"/>
    </row>
    <row r="12" spans="1:7" ht="15.75" customHeight="1">
      <c r="A12" s="1">
        <v>4</v>
      </c>
      <c r="B12" s="11" t="s">
        <v>27</v>
      </c>
      <c r="C12" s="1" t="s">
        <v>7</v>
      </c>
      <c r="D12" s="10">
        <v>55092</v>
      </c>
      <c r="E12" s="10">
        <v>41639</v>
      </c>
      <c r="F12" s="6"/>
      <c r="G12" s="4"/>
    </row>
    <row r="13" spans="1:7" ht="15.75" customHeight="1">
      <c r="A13" s="1">
        <v>5</v>
      </c>
      <c r="B13" s="11" t="s">
        <v>28</v>
      </c>
      <c r="C13" s="1" t="s">
        <v>7</v>
      </c>
      <c r="D13" s="10">
        <f>5872+48092</f>
        <v>53964</v>
      </c>
      <c r="E13" s="10">
        <f>822+8269</f>
        <v>9091</v>
      </c>
      <c r="F13" s="6"/>
      <c r="G13" s="4"/>
    </row>
    <row r="14" spans="1:7" ht="15.75" customHeight="1">
      <c r="A14" s="1">
        <v>6</v>
      </c>
      <c r="B14" s="11" t="s">
        <v>29</v>
      </c>
      <c r="C14" s="1" t="s">
        <v>7</v>
      </c>
      <c r="D14" s="10">
        <v>31247</v>
      </c>
      <c r="E14" s="10">
        <v>19363</v>
      </c>
      <c r="F14" s="6"/>
      <c r="G14" s="4"/>
    </row>
    <row r="15" spans="1:6" ht="15.75" customHeight="1">
      <c r="A15" s="1">
        <v>7</v>
      </c>
      <c r="B15" s="11" t="s">
        <v>30</v>
      </c>
      <c r="C15" s="1" t="s">
        <v>7</v>
      </c>
      <c r="D15" s="10">
        <f>50467+2600</f>
        <v>53067</v>
      </c>
      <c r="E15" s="10">
        <f>14434+37</f>
        <v>14471</v>
      </c>
      <c r="F15" s="5"/>
    </row>
    <row r="16" spans="1:6" ht="15.75" customHeight="1">
      <c r="A16" s="1">
        <v>8</v>
      </c>
      <c r="B16" s="11" t="s">
        <v>23</v>
      </c>
      <c r="C16" s="1" t="s">
        <v>7</v>
      </c>
      <c r="D16" s="10">
        <v>18180</v>
      </c>
      <c r="E16" s="10">
        <v>3995</v>
      </c>
      <c r="F16" s="5"/>
    </row>
    <row r="17" spans="1:6" ht="15.75" customHeight="1">
      <c r="A17" s="1">
        <v>9</v>
      </c>
      <c r="B17" s="11" t="s">
        <v>31</v>
      </c>
      <c r="C17" s="1" t="s">
        <v>7</v>
      </c>
      <c r="D17" s="10">
        <f>7007+15148+1537</f>
        <v>23692</v>
      </c>
      <c r="E17" s="10">
        <f>977+1208+120</f>
        <v>2305</v>
      </c>
      <c r="F17" s="6"/>
    </row>
    <row r="18" spans="1:6" ht="15.75" customHeight="1">
      <c r="A18" s="1">
        <v>10</v>
      </c>
      <c r="B18" s="11" t="s">
        <v>32</v>
      </c>
      <c r="C18" s="1" t="s">
        <v>7</v>
      </c>
      <c r="D18" s="10">
        <v>24274</v>
      </c>
      <c r="E18" s="10">
        <v>9038</v>
      </c>
      <c r="F18" s="6"/>
    </row>
    <row r="19" spans="1:6" ht="15.75" customHeight="1">
      <c r="A19" s="1">
        <v>11</v>
      </c>
      <c r="B19" s="11" t="s">
        <v>33</v>
      </c>
      <c r="C19" s="1" t="s">
        <v>7</v>
      </c>
      <c r="D19" s="10">
        <v>55197</v>
      </c>
      <c r="E19" s="10">
        <v>13335</v>
      </c>
      <c r="F19" s="6"/>
    </row>
    <row r="20" spans="1:6" ht="15.75" customHeight="1">
      <c r="A20" s="1">
        <v>12</v>
      </c>
      <c r="B20" s="11" t="s">
        <v>34</v>
      </c>
      <c r="C20" s="1" t="s">
        <v>7</v>
      </c>
      <c r="D20" s="10">
        <f>48314+867+597</f>
        <v>49778</v>
      </c>
      <c r="E20" s="10">
        <v>11535</v>
      </c>
      <c r="F20" s="6"/>
    </row>
    <row r="21" spans="1:6" ht="15.75" customHeight="1">
      <c r="A21" s="1">
        <v>13</v>
      </c>
      <c r="B21" s="11" t="s">
        <v>35</v>
      </c>
      <c r="C21" s="1" t="s">
        <v>7</v>
      </c>
      <c r="D21" s="10">
        <f>883+77701+6437</f>
        <v>85021</v>
      </c>
      <c r="E21" s="10">
        <f>15+20474+1129</f>
        <v>21618</v>
      </c>
      <c r="F21" s="6"/>
    </row>
    <row r="22" spans="1:6" ht="15.75" customHeight="1">
      <c r="A22" s="1">
        <v>14</v>
      </c>
      <c r="B22" s="11" t="s">
        <v>36</v>
      </c>
      <c r="C22" s="1" t="s">
        <v>7</v>
      </c>
      <c r="D22" s="10">
        <f>4424+19740</f>
        <v>24164</v>
      </c>
      <c r="E22" s="10">
        <f>531+6164</f>
        <v>6695</v>
      </c>
      <c r="F22" s="6"/>
    </row>
    <row r="23" spans="1:6" ht="15.75" customHeight="1">
      <c r="A23" s="1">
        <v>15</v>
      </c>
      <c r="B23" s="11" t="s">
        <v>37</v>
      </c>
      <c r="C23" s="1" t="s">
        <v>7</v>
      </c>
      <c r="D23" s="10">
        <f>4597+70305+5924</f>
        <v>80826</v>
      </c>
      <c r="E23" s="10">
        <f>1919+17302+2395</f>
        <v>21616</v>
      </c>
      <c r="F23" s="6"/>
    </row>
    <row r="24" spans="1:6" ht="15.75" customHeight="1">
      <c r="A24" s="1">
        <v>16</v>
      </c>
      <c r="B24" s="11" t="s">
        <v>38</v>
      </c>
      <c r="C24" s="1" t="s">
        <v>7</v>
      </c>
      <c r="D24" s="10">
        <f>1878+11925+8260+2703+66252</f>
        <v>91018</v>
      </c>
      <c r="E24" s="10">
        <f>169+5188+1244+689+45743</f>
        <v>53033</v>
      </c>
      <c r="F24" s="6"/>
    </row>
    <row r="25" spans="1:6" ht="15.75" customHeight="1">
      <c r="A25" s="1">
        <v>17</v>
      </c>
      <c r="B25" s="15" t="s">
        <v>40</v>
      </c>
      <c r="C25" s="1" t="s">
        <v>7</v>
      </c>
      <c r="D25" s="10">
        <f>24802-1</f>
        <v>24801</v>
      </c>
      <c r="E25" s="10">
        <v>27405</v>
      </c>
      <c r="F25" s="6"/>
    </row>
    <row r="26" spans="1:6" ht="13.5" customHeight="1">
      <c r="A26" s="26" t="s">
        <v>8</v>
      </c>
      <c r="B26" s="27"/>
      <c r="C26" s="3" t="s">
        <v>7</v>
      </c>
      <c r="D26" s="14">
        <f>SUM(D9:D25)</f>
        <v>853745</v>
      </c>
      <c r="E26" s="14">
        <f>SUM(E9:E25)</f>
        <v>340388</v>
      </c>
      <c r="F26" s="6"/>
    </row>
  </sheetData>
  <sheetProtection/>
  <mergeCells count="8">
    <mergeCell ref="A26:B26"/>
    <mergeCell ref="C1:E1"/>
    <mergeCell ref="D2:E2"/>
    <mergeCell ref="A4:E5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gkh02</cp:lastModifiedBy>
  <cp:lastPrinted>2016-06-10T04:25:09Z</cp:lastPrinted>
  <dcterms:created xsi:type="dcterms:W3CDTF">2010-03-12T06:02:23Z</dcterms:created>
  <dcterms:modified xsi:type="dcterms:W3CDTF">2020-01-14T17:05:18Z</dcterms:modified>
  <cp:category/>
  <cp:version/>
  <cp:contentType/>
  <cp:contentStatus/>
</cp:coreProperties>
</file>